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Обмен\БЮДЖЕТНЫЙ ОТДЕЛ\БЮДЖЕТ 2026\Проект ГОЩ\На сайт\"/>
    </mc:Choice>
  </mc:AlternateContent>
  <bookViews>
    <workbookView xWindow="120" yWindow="345" windowWidth="20115" windowHeight="9735"/>
  </bookViews>
  <sheets>
    <sheet name="Свод" sheetId="3" r:id="rId1"/>
  </sheets>
  <calcPr calcId="162913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3" i="3"/>
  <c r="E54" i="3"/>
  <c r="E55" i="3"/>
  <c r="E56" i="3"/>
  <c r="E57" i="3"/>
  <c r="E58" i="3"/>
  <c r="E59" i="3"/>
  <c r="E60" i="3"/>
  <c r="E61" i="3"/>
  <c r="E62" i="3"/>
  <c r="E64" i="3"/>
  <c r="E65" i="3"/>
  <c r="E66" i="3"/>
  <c r="E69" i="3"/>
  <c r="D66" i="3" l="1"/>
  <c r="C62" i="3"/>
  <c r="C61" i="3"/>
  <c r="D59" i="3"/>
  <c r="C59" i="3"/>
  <c r="D56" i="3"/>
  <c r="C56" i="3"/>
  <c r="D53" i="3"/>
  <c r="C53" i="3"/>
  <c r="D50" i="3"/>
  <c r="D49" i="3" s="1"/>
  <c r="C50" i="3"/>
  <c r="C49" i="3" s="1"/>
  <c r="D46" i="3"/>
  <c r="C46" i="3"/>
  <c r="D44" i="3"/>
  <c r="C44" i="3"/>
  <c r="C43" i="3" s="1"/>
  <c r="D41" i="3"/>
  <c r="C41" i="3"/>
  <c r="D38" i="3"/>
  <c r="C38" i="3"/>
  <c r="D32" i="3"/>
  <c r="C32" i="3"/>
  <c r="C30" i="3"/>
  <c r="D27" i="3"/>
  <c r="C27" i="3"/>
  <c r="D25" i="3"/>
  <c r="C25" i="3"/>
  <c r="D23" i="3"/>
  <c r="D22" i="3" s="1"/>
  <c r="C23" i="3"/>
  <c r="C22" i="3" s="1"/>
  <c r="D19" i="3"/>
  <c r="C19" i="3"/>
  <c r="C17" i="3" s="1"/>
  <c r="D11" i="3"/>
  <c r="C11" i="3"/>
  <c r="D9" i="3"/>
  <c r="C9" i="3"/>
  <c r="D7" i="3"/>
  <c r="C7" i="3"/>
  <c r="D29" i="3" l="1"/>
  <c r="C29" i="3"/>
  <c r="C6" i="3"/>
  <c r="C69" i="3" s="1"/>
  <c r="D43" i="3"/>
  <c r="D17" i="3"/>
  <c r="D62" i="3"/>
  <c r="D6" i="3" l="1"/>
  <c r="E6" i="3" s="1"/>
  <c r="D61" i="3"/>
  <c r="D69" i="3" l="1"/>
  <c r="D80" i="3" l="1"/>
  <c r="D112" i="3"/>
  <c r="E122" i="3" l="1"/>
  <c r="E121" i="3"/>
  <c r="E120" i="3"/>
  <c r="E119" i="3"/>
  <c r="E118" i="3"/>
  <c r="E115" i="3"/>
  <c r="E114" i="3"/>
  <c r="E113" i="3"/>
  <c r="E111" i="3"/>
  <c r="E110" i="3" s="1"/>
  <c r="E109" i="3"/>
  <c r="E108" i="3"/>
  <c r="E107" i="3"/>
  <c r="E106" i="3"/>
  <c r="E105" i="3"/>
  <c r="E104" i="3"/>
  <c r="E103" i="3"/>
  <c r="E102" i="3"/>
  <c r="E101" i="3"/>
  <c r="E99" i="3"/>
  <c r="E98" i="3"/>
  <c r="E96" i="3"/>
  <c r="E95" i="3"/>
  <c r="E94" i="3"/>
  <c r="E92" i="3"/>
  <c r="E91" i="3"/>
  <c r="E90" i="3"/>
  <c r="E89" i="3"/>
  <c r="E88" i="3"/>
  <c r="E86" i="3"/>
  <c r="E85" i="3"/>
  <c r="E84" i="3"/>
  <c r="E80" i="3"/>
  <c r="E77" i="3"/>
  <c r="E76" i="3"/>
  <c r="E75" i="3"/>
  <c r="E74" i="3"/>
  <c r="E117" i="3"/>
  <c r="E123" i="3"/>
  <c r="E97" i="3"/>
  <c r="E93" i="3"/>
  <c r="E81" i="3"/>
  <c r="D73" i="3"/>
  <c r="D81" i="3"/>
  <c r="D83" i="3"/>
  <c r="D87" i="3"/>
  <c r="D93" i="3"/>
  <c r="D97" i="3"/>
  <c r="D100" i="3"/>
  <c r="D107" i="3"/>
  <c r="D110" i="3"/>
  <c r="E83" i="3" l="1"/>
  <c r="E112" i="3"/>
  <c r="E100" i="3"/>
  <c r="E87" i="3"/>
  <c r="E73" i="3"/>
  <c r="F104" i="3"/>
  <c r="E125" i="3" l="1"/>
  <c r="F124" i="3" l="1"/>
  <c r="D123" i="3"/>
  <c r="F123" i="3" s="1"/>
  <c r="F122" i="3"/>
  <c r="D121" i="3"/>
  <c r="F121" i="3" s="1"/>
  <c r="F120" i="3"/>
  <c r="F119" i="3"/>
  <c r="F118" i="3"/>
  <c r="D117" i="3"/>
  <c r="F117" i="3" s="1"/>
  <c r="F116" i="3"/>
  <c r="F115" i="3"/>
  <c r="F114" i="3"/>
  <c r="F113" i="3"/>
  <c r="F112" i="3"/>
  <c r="F111" i="3"/>
  <c r="F110" i="3"/>
  <c r="F109" i="3"/>
  <c r="F108" i="3"/>
  <c r="F107" i="3"/>
  <c r="F106" i="3"/>
  <c r="F105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D125" i="3" l="1"/>
  <c r="F73" i="3"/>
  <c r="F125" i="3" l="1"/>
</calcChain>
</file>

<file path=xl/sharedStrings.xml><?xml version="1.0" encoding="utf-8"?>
<sst xmlns="http://schemas.openxmlformats.org/spreadsheetml/2006/main" count="247" uniqueCount="246">
  <si>
    <t>1.  Д О Х О Д Ы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</si>
  <si>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</si>
  <si>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</si>
  <si>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</si>
  <si>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</si>
  <si>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</si>
  <si>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 xml:space="preserve"> Налоги на прибыль, доходы</t>
  </si>
  <si>
    <t>000 1 01 02000 01 0000 110</t>
  </si>
  <si>
    <t xml:space="preserve"> Налог на доходы физических лиц </t>
  </si>
  <si>
    <t>000 1 03 00000 00 0000 000</t>
  </si>
  <si>
    <t>Налоги на товары (работы, услуги), реализуемые на территории Российской Федерации</t>
  </si>
  <si>
    <t>000 1 03 02000 01 0000 000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</si>
  <si>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</si>
  <si>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</si>
  <si>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</si>
  <si>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</si>
  <si>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</si>
  <si>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вменённый доход для отдельных видов деятельности</t>
  </si>
  <si>
    <t>000 1 05 03000 01 0000 110</t>
  </si>
  <si>
    <t xml:space="preserve">Единый сельскохозяйственный налог </t>
  </si>
  <si>
    <t xml:space="preserve">000 1 05 04000 02 0000 110 </t>
  </si>
  <si>
    <t xml:space="preserve">Налог, взимаемый в связи с применением патентной системы налогообложения 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</si>
  <si>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</si>
  <si>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</si>
  <si>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</si>
  <si>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</si>
  <si>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000 1 08 03010 01 0000 110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</si>
  <si>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                                                     </t>
  </si>
  <si>
    <t>000 1 08 07000 01 0000 110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</si>
  <si>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</si>
  <si>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000 1 08 07150 01 0000 110</t>
  </si>
  <si>
    <t>Государственная пошлина за выдачу разрешения на установку рекламной конструкции</t>
  </si>
  <si>
    <t>000 1 11 00000 00 0000 000</t>
  </si>
  <si>
    <t xml:space="preserve">Доходы от  использования имущества, находящегося в государственной и муниципальной собственности 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</si>
  <si>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</si>
  <si>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</si>
  <si>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</si>
  <si>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</si>
  <si>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</si>
  <si>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</si>
  <si>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</si>
  <si>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 xml:space="preserve">Плата за негативное воздействие на окружающую среду </t>
  </si>
  <si>
    <t>000 1 13 00000 00 0000 000</t>
  </si>
  <si>
    <t>Доходы от оказания платных услуг (работ) и компенсации затрат государства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</si>
  <si>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</si>
  <si>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</si>
  <si>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</si>
  <si>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</si>
  <si>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</si>
  <si>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</si>
  <si>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</si>
  <si>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</si>
  <si>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000 1 16 00000 00 0000 000</t>
  </si>
  <si>
    <t xml:space="preserve"> Штрафы, санкции, возмещение ущерба</t>
  </si>
  <si>
    <t>000 1 17 00000 00 0000 000</t>
  </si>
  <si>
    <t>Прочие неналоговые доходы</t>
  </si>
  <si>
    <t>000 1 17 05000 00 0000 180</t>
  </si>
  <si>
    <t>000 2 00 00000 00 0000 000</t>
  </si>
  <si>
    <t>БЕЗВОЗМЕЗДНЫЕ ПОСТУПЛЕНИЯ</t>
  </si>
  <si>
    <t>Иные межбюджетные трансферты</t>
  </si>
  <si>
    <t>Всего доходов</t>
  </si>
  <si>
    <t xml:space="preserve">% ожидаемого исполнения </t>
  </si>
  <si>
    <t xml:space="preserve">000 1 05 01000 01 0000 110 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</si>
  <si>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</si>
  <si>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</si>
  <si>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000 2 18 00000 00 0000 000</t>
  </si>
  <si>
    <t>000 2 19 00000 00 0000 000</t>
  </si>
  <si>
    <t>000 1 13 01000 00 0000 130</t>
  </si>
  <si>
    <t xml:space="preserve">Доходы от оказания платных услуг (работ) </t>
  </si>
  <si>
    <t xml:space="preserve">Субсидии </t>
  </si>
  <si>
    <t xml:space="preserve">Субвенции  </t>
  </si>
  <si>
    <t>Возврат бюджетными и автономными учреждениями остатков субсидий прошлых лет</t>
  </si>
  <si>
    <t>Возврат остатков субсидий, субвенций и иных межбюджетных трансфертов</t>
  </si>
  <si>
    <t>000 1 06 00 000 00 0000 000</t>
  </si>
  <si>
    <t>Налоги на имущество</t>
  </si>
  <si>
    <t>000 1 06 01 000 00 0000 110</t>
  </si>
  <si>
    <t>Налог на имущество физических лиц</t>
  </si>
  <si>
    <t>Земельный налог</t>
  </si>
  <si>
    <t>000 1 06 06 000 00 0000 110</t>
  </si>
  <si>
    <t>Земельный налог с организаций</t>
  </si>
  <si>
    <t>Земельный налог с физических лиц</t>
  </si>
  <si>
    <t>000 1 06 06 040 00 0000 110</t>
  </si>
  <si>
    <t>000 1 06 06 030 00 0000 110</t>
  </si>
  <si>
    <t>000 1 11 05 010 00 0000 120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</si>
  <si>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</si>
  <si>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</si>
  <si>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000 1 11 05 020 00 0000 120</t>
  </si>
  <si>
    <t>000 1 11 05 030 00 0000 120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</si>
  <si>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</si>
  <si>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</si>
  <si>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000 1 11 05 070 00 0000 120</t>
  </si>
  <si>
    <t>000 1 11 09 040 00 0000 120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</si>
  <si>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</si>
  <si>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000 1 13 01 990 00 0000 130</t>
  </si>
  <si>
    <t>Прочие доходы от оказания платных услуг (работ)</t>
  </si>
  <si>
    <t>000 1 13 02 060 00 0000 130</t>
  </si>
  <si>
    <t>Доходы, поступающие в порядке возмещения расходов, понесенных в связи с эксплуатацией имущества</t>
  </si>
  <si>
    <t>000 1 13 02 990 00 0000 130</t>
  </si>
  <si>
    <t>Прочие доходы от компенсации затрат государства</t>
  </si>
  <si>
    <t>000 1 14 06 010 00 0000 430</t>
  </si>
  <si>
    <t>Доходы от продажи земельных участков, государственная собственность на которые не разграничена</t>
  </si>
  <si>
    <t>000 1 14 06 310 00 0000 430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</si>
  <si>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</si>
  <si>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000 2 02 00 000 00 0000 000</t>
  </si>
  <si>
    <t>БЕЗВОЗМЕЗДНЫЕ ПОСТУПЛЕНИЯ ОТ ДРУГИХ БЮДЖЕТОВ БЮДЖЕТНОЙ СИСТЕМЫ РОССИЙСКОЙ ФЕДЕРАЦИИ</t>
  </si>
  <si>
    <t>2. РАСХОДЫ</t>
  </si>
  <si>
    <t xml:space="preserve">    (тыс. руб.)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</si>
  <si>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</si>
  <si>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000 1 11 05 300 00 0000 120</t>
  </si>
  <si>
    <t>000 1 11 09 080 00 0000 120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</si>
  <si>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</si>
  <si>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 разграничена</t>
  </si>
  <si>
    <t>000 1 14 06 020 00 0000 430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</si>
  <si>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</si>
  <si>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</si>
  <si>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000 1 08 04 000 01 0000 110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</si>
  <si>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</si>
  <si>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000 1 08 04 020 01 0000 110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</si>
  <si>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</si>
  <si>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</si>
  <si>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РзПр</t>
  </si>
  <si>
    <t>% ожидаемого исполнения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</si>
  <si>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</si>
  <si>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</si>
  <si>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</si>
  <si>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</si>
  <si>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</si>
  <si>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</si>
  <si>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</si>
  <si>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</si>
  <si>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</si>
  <si>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</si>
  <si>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</si>
  <si>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</si>
  <si>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</si>
  <si>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</si>
  <si>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</si>
  <si>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</si>
  <si>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</si>
  <si>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</si>
  <si>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</si>
  <si>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</si>
  <si>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</si>
  <si>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</si>
  <si>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</si>
  <si>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</si>
  <si>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</si>
  <si>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</si>
  <si>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</si>
  <si>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</si>
  <si>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</si>
  <si>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</si>
  <si>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</si>
  <si>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</si>
  <si>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</si>
  <si>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</si>
  <si>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</si>
  <si>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</si>
  <si>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</si>
  <si>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</si>
  <si>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</si>
  <si>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</si>
  <si>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</si>
  <si>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</si>
  <si>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</si>
  <si>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</si>
  <si>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</si>
  <si>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</si>
  <si>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</si>
  <si>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</si>
  <si>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</si>
  <si>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</si>
  <si>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</si>
  <si>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</si>
  <si>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</si>
  <si>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</si>
  <si>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</si>
  <si>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</si>
  <si>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</si>
  <si>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</si>
  <si>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</si>
  <si>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</si>
  <si>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</si>
  <si>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</si>
  <si>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</si>
  <si>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</si>
  <si>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</si>
  <si>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</si>
  <si>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</si>
  <si>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</si>
  <si>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</si>
  <si>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</si>
  <si>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</si>
  <si>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</si>
  <si>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</si>
  <si>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</si>
  <si>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</si>
  <si>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</si>
  <si>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</si>
  <si>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</si>
  <si>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</si>
  <si>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</si>
  <si>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</si>
  <si>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</si>
  <si>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</si>
  <si>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</si>
  <si>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</si>
  <si>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</si>
  <si>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</si>
  <si>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</si>
  <si>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</si>
  <si>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</si>
  <si>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</si>
  <si>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</si>
  <si>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</si>
  <si>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</si>
  <si>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</si>
  <si>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</si>
  <si>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</si>
  <si>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</si>
  <si>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</si>
  <si>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</si>
  <si>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Наименование</t>
  </si>
  <si>
    <t>Всего расходы:</t>
  </si>
  <si>
    <t>0107</t>
  </si>
  <si>
    <t>Обеспечение проведения выборов и референдумов</t>
  </si>
  <si>
    <t>Профессиональная подготовка, переподготовка и повышение квалификации</t>
  </si>
  <si>
    <t>0705</t>
  </si>
  <si>
    <t>Дотации</t>
  </si>
  <si>
    <t xml:space="preserve">Уточнённый план на 2025 год </t>
  </si>
  <si>
    <t>Ожидаемое исполнение за 2025 год</t>
  </si>
  <si>
    <t>Оценка ожидаемого исполнения  бюджета городского округа Щёлково за 2025 год</t>
  </si>
  <si>
    <t xml:space="preserve"> </t>
  </si>
  <si>
    <t>Уточненный план на 2025 год</t>
  </si>
  <si>
    <t>Ожидаемое исполнение                                  за 2025 год</t>
  </si>
  <si>
    <t>000 1 11 01 000 00 0000 120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</si>
  <si>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</si>
  <si>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</si>
  <si>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</si>
  <si>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000 1 14 02 040 04 0000 410</t>
  </si>
  <si>
    <t>1 14 02 040 04 0000 440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</si>
  <si>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</si>
  <si>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000 2 02 10000 00 0000 150</t>
  </si>
  <si>
    <t>000 2 02 20000 00 0000 150</t>
  </si>
  <si>
    <t xml:space="preserve">000 2 02 30000 00 0000 150 </t>
  </si>
  <si>
    <t>000 2 02 40000 00 0000 150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</si>
</sst>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7"/>
      <color indexed="8"/>
      <name val="Arial"/>
      <family val="2"/>
      <charset val="204"/>
    </font>
    <font>
      <b/>
      <sz val="13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 applyProtection="0"/>
    <xf numFmtId="0" fontId="1" fillId="0" borderId="0" applyProtection="0"/>
    <xf numFmtId="0" fontId="1" fillId="0" borderId="0">
      <alignment horizontal="left" wrapText="1"/>
      <protection locked="0" hidden="1"/>
    </xf>
    <xf numFmtId="49" fontId="10" fillId="0" borderId="0">
      <alignment horizontal="center" vertical="top" wrapText="1"/>
      <protection locked="0" hidden="1"/>
    </xf>
    <xf numFmtId="49" fontId="1" fillId="0" borderId="0">
      <alignment horizontal="left" vertical="top" wrapText="1"/>
      <protection locked="0" hidden="1"/>
    </xf>
    <xf numFmtId="0" fontId="1" fillId="0" borderId="0">
      <alignment horizontal="right" vertical="top" wrapText="1"/>
      <protection locked="0" hidden="1"/>
    </xf>
    <xf numFmtId="0" fontId="1" fillId="0" borderId="0">
      <alignment horizontal="right" vertical="top" wrapText="1"/>
      <protection locked="0" hidden="1"/>
    </xf>
    <xf numFmtId="0" fontId="1" fillId="0" borderId="0">
      <alignment horizontal="left" wrapText="1"/>
      <protection locked="0" hidden="1"/>
    </xf>
    <xf numFmtId="49" fontId="1" fillId="0" borderId="0">
      <alignment horizontal="left" vertical="top" wrapText="1"/>
      <protection locked="0" hidden="1"/>
    </xf>
    <xf numFmtId="0" fontId="1" fillId="0" borderId="0">
      <alignment horizontal="left" wrapText="1"/>
      <protection locked="0" hidden="1"/>
    </xf>
    <xf numFmtId="49" fontId="1" fillId="0" borderId="0">
      <alignment horizontal="left" vertical="top" wrapText="1"/>
      <protection locked="0" hidden="1"/>
    </xf>
    <xf numFmtId="49" fontId="1" fillId="0" borderId="0">
      <alignment horizontal="left" vertical="top" wrapText="1"/>
      <protection locked="0" hidden="1"/>
    </xf>
    <xf numFmtId="0" fontId="1" fillId="0" borderId="0">
      <alignment horizontal="left" wrapText="1"/>
      <protection locked="0" hidden="1"/>
    </xf>
    <xf numFmtId="0" fontId="1" fillId="0" borderId="0" applyProtection="0"/>
    <xf numFmtId="0" fontId="1" fillId="0" borderId="0" applyProtection="0"/>
  </cellStyleXfs>
  <cellXfs count="74">
    <xf numFmtId="0" fontId="0" fillId="0" borderId="0" xfId="0"/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0" fontId="3" fillId="0" borderId="0" xfId="0" applyFont="1" applyFill="1"/>
    <xf numFmtId="0" fontId="6" fillId="0" borderId="3" xfId="0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7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horizontal="right" vertical="center"/>
    </xf>
    <xf numFmtId="49" fontId="15" fillId="0" borderId="3" xfId="0" applyNumberFormat="1" applyFont="1" applyFill="1" applyBorder="1" applyAlignment="1">
      <alignment horizontal="right" vertical="center"/>
    </xf>
    <xf numFmtId="164" fontId="15" fillId="0" borderId="3" xfId="0" applyNumberFormat="1" applyFont="1" applyFill="1" applyBorder="1" applyAlignment="1">
      <alignment horizontal="right" vertical="center"/>
    </xf>
    <xf numFmtId="49" fontId="16" fillId="0" borderId="3" xfId="0" applyNumberFormat="1" applyFont="1" applyFill="1" applyBorder="1" applyAlignment="1">
      <alignment horizontal="right" vertical="center"/>
    </xf>
    <xf numFmtId="164" fontId="16" fillId="0" borderId="3" xfId="0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0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3" fontId="18" fillId="2" borderId="3" xfId="0" applyNumberFormat="1" applyFont="1" applyFill="1" applyBorder="1" applyAlignment="1">
      <alignment horizontal="right" vertical="center"/>
    </xf>
    <xf numFmtId="3" fontId="19" fillId="2" borderId="3" xfId="0" applyNumberFormat="1" applyFont="1" applyFill="1" applyBorder="1" applyAlignment="1">
      <alignment horizontal="right" vertical="center"/>
    </xf>
    <xf numFmtId="3" fontId="19" fillId="2" borderId="2" xfId="0" applyNumberFormat="1" applyFont="1" applyFill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6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/>
    </xf>
    <xf numFmtId="0" fontId="15" fillId="0" borderId="12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/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</cellXfs>
  <cellStyles count="16">
    <cellStyle name="Денежный [0] 2" xfId="6"/>
    <cellStyle name="Денежный 2" xfId="5"/>
    <cellStyle name="Денежный 3" xfId="9"/>
    <cellStyle name="Денежный 4" xfId="11"/>
    <cellStyle name="Денежный 5" xfId="12"/>
    <cellStyle name="Обычный" xfId="0" builtinId="0"/>
    <cellStyle name="Обычный 2" xfId="2"/>
    <cellStyle name="Обычный 3" xfId="1"/>
    <cellStyle name="Обычный 4" xfId="15"/>
    <cellStyle name="Обычный 5" xfId="14"/>
    <cellStyle name="Процентный 2" xfId="7"/>
    <cellStyle name="Финансовый [0] 2" xfId="4"/>
    <cellStyle name="Финансовый 2" xfId="3"/>
    <cellStyle name="Финансовый 3" xfId="8"/>
    <cellStyle name="Финансовый 4" xfId="10"/>
    <cellStyle name="Финансовый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58" zoomScale="75" zoomScaleNormal="75" zoomScaleSheetLayoutView="100" workbookViewId="0">
      <selection activeCell="E13" sqref="E13:F14"/>
    </sheetView>
  </sheetViews>
  <sheetFormatPr defaultColWidth="9.140625" defaultRowHeight="15.75" x14ac:dyDescent="0.25"/>
  <cols>
    <col min="1" max="1" width="30.7109375" style="4" customWidth="1"/>
    <col min="2" max="2" width="48.140625" style="24" customWidth="1"/>
    <col min="3" max="3" width="15.5703125" style="24" customWidth="1"/>
    <col min="4" max="4" width="21.140625" style="25" customWidth="1"/>
    <col min="5" max="5" width="17.85546875" style="4" customWidth="1"/>
    <col min="6" max="6" width="11.85546875" style="25" customWidth="1"/>
    <col min="7" max="7" width="6.7109375" style="4" customWidth="1"/>
    <col min="8" max="8" width="9.140625" style="4"/>
    <col min="9" max="9" width="22.7109375" style="4" customWidth="1"/>
    <col min="10" max="10" width="35.5703125" style="4" customWidth="1"/>
    <col min="11" max="223" width="9.140625" style="4"/>
    <col min="224" max="224" width="27.42578125" style="4" customWidth="1"/>
    <col min="225" max="225" width="47" style="4" customWidth="1"/>
    <col min="226" max="226" width="15.140625" style="4" customWidth="1"/>
    <col min="227" max="227" width="16.85546875" style="4" customWidth="1"/>
    <col min="228" max="228" width="16.28515625" style="4" customWidth="1"/>
    <col min="229" max="229" width="11.42578125" style="4" customWidth="1"/>
    <col min="230" max="230" width="60.5703125" style="4" customWidth="1"/>
    <col min="231" max="479" width="9.140625" style="4"/>
    <col min="480" max="480" width="27.42578125" style="4" customWidth="1"/>
    <col min="481" max="481" width="47" style="4" customWidth="1"/>
    <col min="482" max="482" width="15.140625" style="4" customWidth="1"/>
    <col min="483" max="483" width="16.85546875" style="4" customWidth="1"/>
    <col min="484" max="484" width="16.28515625" style="4" customWidth="1"/>
    <col min="485" max="485" width="11.42578125" style="4" customWidth="1"/>
    <col min="486" max="486" width="60.5703125" style="4" customWidth="1"/>
    <col min="487" max="735" width="9.140625" style="4"/>
    <col min="736" max="736" width="27.42578125" style="4" customWidth="1"/>
    <col min="737" max="737" width="47" style="4" customWidth="1"/>
    <col min="738" max="738" width="15.140625" style="4" customWidth="1"/>
    <col min="739" max="739" width="16.85546875" style="4" customWidth="1"/>
    <col min="740" max="740" width="16.28515625" style="4" customWidth="1"/>
    <col min="741" max="741" width="11.42578125" style="4" customWidth="1"/>
    <col min="742" max="742" width="60.5703125" style="4" customWidth="1"/>
    <col min="743" max="991" width="9.140625" style="4"/>
    <col min="992" max="992" width="27.42578125" style="4" customWidth="1"/>
    <col min="993" max="993" width="47" style="4" customWidth="1"/>
    <col min="994" max="994" width="15.140625" style="4" customWidth="1"/>
    <col min="995" max="995" width="16.85546875" style="4" customWidth="1"/>
    <col min="996" max="996" width="16.28515625" style="4" customWidth="1"/>
    <col min="997" max="997" width="11.42578125" style="4" customWidth="1"/>
    <col min="998" max="998" width="60.5703125" style="4" customWidth="1"/>
    <col min="999" max="1247" width="9.140625" style="4"/>
    <col min="1248" max="1248" width="27.42578125" style="4" customWidth="1"/>
    <col min="1249" max="1249" width="47" style="4" customWidth="1"/>
    <col min="1250" max="1250" width="15.140625" style="4" customWidth="1"/>
    <col min="1251" max="1251" width="16.85546875" style="4" customWidth="1"/>
    <col min="1252" max="1252" width="16.28515625" style="4" customWidth="1"/>
    <col min="1253" max="1253" width="11.42578125" style="4" customWidth="1"/>
    <col min="1254" max="1254" width="60.5703125" style="4" customWidth="1"/>
    <col min="1255" max="1503" width="9.140625" style="4"/>
    <col min="1504" max="1504" width="27.42578125" style="4" customWidth="1"/>
    <col min="1505" max="1505" width="47" style="4" customWidth="1"/>
    <col min="1506" max="1506" width="15.140625" style="4" customWidth="1"/>
    <col min="1507" max="1507" width="16.85546875" style="4" customWidth="1"/>
    <col min="1508" max="1508" width="16.28515625" style="4" customWidth="1"/>
    <col min="1509" max="1509" width="11.42578125" style="4" customWidth="1"/>
    <col min="1510" max="1510" width="60.5703125" style="4" customWidth="1"/>
    <col min="1511" max="1759" width="9.140625" style="4"/>
    <col min="1760" max="1760" width="27.42578125" style="4" customWidth="1"/>
    <col min="1761" max="1761" width="47" style="4" customWidth="1"/>
    <col min="1762" max="1762" width="15.140625" style="4" customWidth="1"/>
    <col min="1763" max="1763" width="16.85546875" style="4" customWidth="1"/>
    <col min="1764" max="1764" width="16.28515625" style="4" customWidth="1"/>
    <col min="1765" max="1765" width="11.42578125" style="4" customWidth="1"/>
    <col min="1766" max="1766" width="60.5703125" style="4" customWidth="1"/>
    <col min="1767" max="2015" width="9.140625" style="4"/>
    <col min="2016" max="2016" width="27.42578125" style="4" customWidth="1"/>
    <col min="2017" max="2017" width="47" style="4" customWidth="1"/>
    <col min="2018" max="2018" width="15.140625" style="4" customWidth="1"/>
    <col min="2019" max="2019" width="16.85546875" style="4" customWidth="1"/>
    <col min="2020" max="2020" width="16.28515625" style="4" customWidth="1"/>
    <col min="2021" max="2021" width="11.42578125" style="4" customWidth="1"/>
    <col min="2022" max="2022" width="60.5703125" style="4" customWidth="1"/>
    <col min="2023" max="2271" width="9.140625" style="4"/>
    <col min="2272" max="2272" width="27.42578125" style="4" customWidth="1"/>
    <col min="2273" max="2273" width="47" style="4" customWidth="1"/>
    <col min="2274" max="2274" width="15.140625" style="4" customWidth="1"/>
    <col min="2275" max="2275" width="16.85546875" style="4" customWidth="1"/>
    <col min="2276" max="2276" width="16.28515625" style="4" customWidth="1"/>
    <col min="2277" max="2277" width="11.42578125" style="4" customWidth="1"/>
    <col min="2278" max="2278" width="60.5703125" style="4" customWidth="1"/>
    <col min="2279" max="2527" width="9.140625" style="4"/>
    <col min="2528" max="2528" width="27.42578125" style="4" customWidth="1"/>
    <col min="2529" max="2529" width="47" style="4" customWidth="1"/>
    <col min="2530" max="2530" width="15.140625" style="4" customWidth="1"/>
    <col min="2531" max="2531" width="16.85546875" style="4" customWidth="1"/>
    <col min="2532" max="2532" width="16.28515625" style="4" customWidth="1"/>
    <col min="2533" max="2533" width="11.42578125" style="4" customWidth="1"/>
    <col min="2534" max="2534" width="60.5703125" style="4" customWidth="1"/>
    <col min="2535" max="2783" width="9.140625" style="4"/>
    <col min="2784" max="2784" width="27.42578125" style="4" customWidth="1"/>
    <col min="2785" max="2785" width="47" style="4" customWidth="1"/>
    <col min="2786" max="2786" width="15.140625" style="4" customWidth="1"/>
    <col min="2787" max="2787" width="16.85546875" style="4" customWidth="1"/>
    <col min="2788" max="2788" width="16.28515625" style="4" customWidth="1"/>
    <col min="2789" max="2789" width="11.42578125" style="4" customWidth="1"/>
    <col min="2790" max="2790" width="60.5703125" style="4" customWidth="1"/>
    <col min="2791" max="3039" width="9.140625" style="4"/>
    <col min="3040" max="3040" width="27.42578125" style="4" customWidth="1"/>
    <col min="3041" max="3041" width="47" style="4" customWidth="1"/>
    <col min="3042" max="3042" width="15.140625" style="4" customWidth="1"/>
    <col min="3043" max="3043" width="16.85546875" style="4" customWidth="1"/>
    <col min="3044" max="3044" width="16.28515625" style="4" customWidth="1"/>
    <col min="3045" max="3045" width="11.42578125" style="4" customWidth="1"/>
    <col min="3046" max="3046" width="60.5703125" style="4" customWidth="1"/>
    <col min="3047" max="3295" width="9.140625" style="4"/>
    <col min="3296" max="3296" width="27.42578125" style="4" customWidth="1"/>
    <col min="3297" max="3297" width="47" style="4" customWidth="1"/>
    <col min="3298" max="3298" width="15.140625" style="4" customWidth="1"/>
    <col min="3299" max="3299" width="16.85546875" style="4" customWidth="1"/>
    <col min="3300" max="3300" width="16.28515625" style="4" customWidth="1"/>
    <col min="3301" max="3301" width="11.42578125" style="4" customWidth="1"/>
    <col min="3302" max="3302" width="60.5703125" style="4" customWidth="1"/>
    <col min="3303" max="3551" width="9.140625" style="4"/>
    <col min="3552" max="3552" width="27.42578125" style="4" customWidth="1"/>
    <col min="3553" max="3553" width="47" style="4" customWidth="1"/>
    <col min="3554" max="3554" width="15.140625" style="4" customWidth="1"/>
    <col min="3555" max="3555" width="16.85546875" style="4" customWidth="1"/>
    <col min="3556" max="3556" width="16.28515625" style="4" customWidth="1"/>
    <col min="3557" max="3557" width="11.42578125" style="4" customWidth="1"/>
    <col min="3558" max="3558" width="60.5703125" style="4" customWidth="1"/>
    <col min="3559" max="3807" width="9.140625" style="4"/>
    <col min="3808" max="3808" width="27.42578125" style="4" customWidth="1"/>
    <col min="3809" max="3809" width="47" style="4" customWidth="1"/>
    <col min="3810" max="3810" width="15.140625" style="4" customWidth="1"/>
    <col min="3811" max="3811" width="16.85546875" style="4" customWidth="1"/>
    <col min="3812" max="3812" width="16.28515625" style="4" customWidth="1"/>
    <col min="3813" max="3813" width="11.42578125" style="4" customWidth="1"/>
    <col min="3814" max="3814" width="60.5703125" style="4" customWidth="1"/>
    <col min="3815" max="4063" width="9.140625" style="4"/>
    <col min="4064" max="4064" width="27.42578125" style="4" customWidth="1"/>
    <col min="4065" max="4065" width="47" style="4" customWidth="1"/>
    <col min="4066" max="4066" width="15.140625" style="4" customWidth="1"/>
    <col min="4067" max="4067" width="16.85546875" style="4" customWidth="1"/>
    <col min="4068" max="4068" width="16.28515625" style="4" customWidth="1"/>
    <col min="4069" max="4069" width="11.42578125" style="4" customWidth="1"/>
    <col min="4070" max="4070" width="60.5703125" style="4" customWidth="1"/>
    <col min="4071" max="4319" width="9.140625" style="4"/>
    <col min="4320" max="4320" width="27.42578125" style="4" customWidth="1"/>
    <col min="4321" max="4321" width="47" style="4" customWidth="1"/>
    <col min="4322" max="4322" width="15.140625" style="4" customWidth="1"/>
    <col min="4323" max="4323" width="16.85546875" style="4" customWidth="1"/>
    <col min="4324" max="4324" width="16.28515625" style="4" customWidth="1"/>
    <col min="4325" max="4325" width="11.42578125" style="4" customWidth="1"/>
    <col min="4326" max="4326" width="60.5703125" style="4" customWidth="1"/>
    <col min="4327" max="4575" width="9.140625" style="4"/>
    <col min="4576" max="4576" width="27.42578125" style="4" customWidth="1"/>
    <col min="4577" max="4577" width="47" style="4" customWidth="1"/>
    <col min="4578" max="4578" width="15.140625" style="4" customWidth="1"/>
    <col min="4579" max="4579" width="16.85546875" style="4" customWidth="1"/>
    <col min="4580" max="4580" width="16.28515625" style="4" customWidth="1"/>
    <col min="4581" max="4581" width="11.42578125" style="4" customWidth="1"/>
    <col min="4582" max="4582" width="60.5703125" style="4" customWidth="1"/>
    <col min="4583" max="4831" width="9.140625" style="4"/>
    <col min="4832" max="4832" width="27.42578125" style="4" customWidth="1"/>
    <col min="4833" max="4833" width="47" style="4" customWidth="1"/>
    <col min="4834" max="4834" width="15.140625" style="4" customWidth="1"/>
    <col min="4835" max="4835" width="16.85546875" style="4" customWidth="1"/>
    <col min="4836" max="4836" width="16.28515625" style="4" customWidth="1"/>
    <col min="4837" max="4837" width="11.42578125" style="4" customWidth="1"/>
    <col min="4838" max="4838" width="60.5703125" style="4" customWidth="1"/>
    <col min="4839" max="5087" width="9.140625" style="4"/>
    <col min="5088" max="5088" width="27.42578125" style="4" customWidth="1"/>
    <col min="5089" max="5089" width="47" style="4" customWidth="1"/>
    <col min="5090" max="5090" width="15.140625" style="4" customWidth="1"/>
    <col min="5091" max="5091" width="16.85546875" style="4" customWidth="1"/>
    <col min="5092" max="5092" width="16.28515625" style="4" customWidth="1"/>
    <col min="5093" max="5093" width="11.42578125" style="4" customWidth="1"/>
    <col min="5094" max="5094" width="60.5703125" style="4" customWidth="1"/>
    <col min="5095" max="5343" width="9.140625" style="4"/>
    <col min="5344" max="5344" width="27.42578125" style="4" customWidth="1"/>
    <col min="5345" max="5345" width="47" style="4" customWidth="1"/>
    <col min="5346" max="5346" width="15.140625" style="4" customWidth="1"/>
    <col min="5347" max="5347" width="16.85546875" style="4" customWidth="1"/>
    <col min="5348" max="5348" width="16.28515625" style="4" customWidth="1"/>
    <col min="5349" max="5349" width="11.42578125" style="4" customWidth="1"/>
    <col min="5350" max="5350" width="60.5703125" style="4" customWidth="1"/>
    <col min="5351" max="5599" width="9.140625" style="4"/>
    <col min="5600" max="5600" width="27.42578125" style="4" customWidth="1"/>
    <col min="5601" max="5601" width="47" style="4" customWidth="1"/>
    <col min="5602" max="5602" width="15.140625" style="4" customWidth="1"/>
    <col min="5603" max="5603" width="16.85546875" style="4" customWidth="1"/>
    <col min="5604" max="5604" width="16.28515625" style="4" customWidth="1"/>
    <col min="5605" max="5605" width="11.42578125" style="4" customWidth="1"/>
    <col min="5606" max="5606" width="60.5703125" style="4" customWidth="1"/>
    <col min="5607" max="5855" width="9.140625" style="4"/>
    <col min="5856" max="5856" width="27.42578125" style="4" customWidth="1"/>
    <col min="5857" max="5857" width="47" style="4" customWidth="1"/>
    <col min="5858" max="5858" width="15.140625" style="4" customWidth="1"/>
    <col min="5859" max="5859" width="16.85546875" style="4" customWidth="1"/>
    <col min="5860" max="5860" width="16.28515625" style="4" customWidth="1"/>
    <col min="5861" max="5861" width="11.42578125" style="4" customWidth="1"/>
    <col min="5862" max="5862" width="60.5703125" style="4" customWidth="1"/>
    <col min="5863" max="6111" width="9.140625" style="4"/>
    <col min="6112" max="6112" width="27.42578125" style="4" customWidth="1"/>
    <col min="6113" max="6113" width="47" style="4" customWidth="1"/>
    <col min="6114" max="6114" width="15.140625" style="4" customWidth="1"/>
    <col min="6115" max="6115" width="16.85546875" style="4" customWidth="1"/>
    <col min="6116" max="6116" width="16.28515625" style="4" customWidth="1"/>
    <col min="6117" max="6117" width="11.42578125" style="4" customWidth="1"/>
    <col min="6118" max="6118" width="60.5703125" style="4" customWidth="1"/>
    <col min="6119" max="6367" width="9.140625" style="4"/>
    <col min="6368" max="6368" width="27.42578125" style="4" customWidth="1"/>
    <col min="6369" max="6369" width="47" style="4" customWidth="1"/>
    <col min="6370" max="6370" width="15.140625" style="4" customWidth="1"/>
    <col min="6371" max="6371" width="16.85546875" style="4" customWidth="1"/>
    <col min="6372" max="6372" width="16.28515625" style="4" customWidth="1"/>
    <col min="6373" max="6373" width="11.42578125" style="4" customWidth="1"/>
    <col min="6374" max="6374" width="60.5703125" style="4" customWidth="1"/>
    <col min="6375" max="6623" width="9.140625" style="4"/>
    <col min="6624" max="6624" width="27.42578125" style="4" customWidth="1"/>
    <col min="6625" max="6625" width="47" style="4" customWidth="1"/>
    <col min="6626" max="6626" width="15.140625" style="4" customWidth="1"/>
    <col min="6627" max="6627" width="16.85546875" style="4" customWidth="1"/>
    <col min="6628" max="6628" width="16.28515625" style="4" customWidth="1"/>
    <col min="6629" max="6629" width="11.42578125" style="4" customWidth="1"/>
    <col min="6630" max="6630" width="60.5703125" style="4" customWidth="1"/>
    <col min="6631" max="6879" width="9.140625" style="4"/>
    <col min="6880" max="6880" width="27.42578125" style="4" customWidth="1"/>
    <col min="6881" max="6881" width="47" style="4" customWidth="1"/>
    <col min="6882" max="6882" width="15.140625" style="4" customWidth="1"/>
    <col min="6883" max="6883" width="16.85546875" style="4" customWidth="1"/>
    <col min="6884" max="6884" width="16.28515625" style="4" customWidth="1"/>
    <col min="6885" max="6885" width="11.42578125" style="4" customWidth="1"/>
    <col min="6886" max="6886" width="60.5703125" style="4" customWidth="1"/>
    <col min="6887" max="7135" width="9.140625" style="4"/>
    <col min="7136" max="7136" width="27.42578125" style="4" customWidth="1"/>
    <col min="7137" max="7137" width="47" style="4" customWidth="1"/>
    <col min="7138" max="7138" width="15.140625" style="4" customWidth="1"/>
    <col min="7139" max="7139" width="16.85546875" style="4" customWidth="1"/>
    <col min="7140" max="7140" width="16.28515625" style="4" customWidth="1"/>
    <col min="7141" max="7141" width="11.42578125" style="4" customWidth="1"/>
    <col min="7142" max="7142" width="60.5703125" style="4" customWidth="1"/>
    <col min="7143" max="7391" width="9.140625" style="4"/>
    <col min="7392" max="7392" width="27.42578125" style="4" customWidth="1"/>
    <col min="7393" max="7393" width="47" style="4" customWidth="1"/>
    <col min="7394" max="7394" width="15.140625" style="4" customWidth="1"/>
    <col min="7395" max="7395" width="16.85546875" style="4" customWidth="1"/>
    <col min="7396" max="7396" width="16.28515625" style="4" customWidth="1"/>
    <col min="7397" max="7397" width="11.42578125" style="4" customWidth="1"/>
    <col min="7398" max="7398" width="60.5703125" style="4" customWidth="1"/>
    <col min="7399" max="7647" width="9.140625" style="4"/>
    <col min="7648" max="7648" width="27.42578125" style="4" customWidth="1"/>
    <col min="7649" max="7649" width="47" style="4" customWidth="1"/>
    <col min="7650" max="7650" width="15.140625" style="4" customWidth="1"/>
    <col min="7651" max="7651" width="16.85546875" style="4" customWidth="1"/>
    <col min="7652" max="7652" width="16.28515625" style="4" customWidth="1"/>
    <col min="7653" max="7653" width="11.42578125" style="4" customWidth="1"/>
    <col min="7654" max="7654" width="60.5703125" style="4" customWidth="1"/>
    <col min="7655" max="7903" width="9.140625" style="4"/>
    <col min="7904" max="7904" width="27.42578125" style="4" customWidth="1"/>
    <col min="7905" max="7905" width="47" style="4" customWidth="1"/>
    <col min="7906" max="7906" width="15.140625" style="4" customWidth="1"/>
    <col min="7907" max="7907" width="16.85546875" style="4" customWidth="1"/>
    <col min="7908" max="7908" width="16.28515625" style="4" customWidth="1"/>
    <col min="7909" max="7909" width="11.42578125" style="4" customWidth="1"/>
    <col min="7910" max="7910" width="60.5703125" style="4" customWidth="1"/>
    <col min="7911" max="8159" width="9.140625" style="4"/>
    <col min="8160" max="8160" width="27.42578125" style="4" customWidth="1"/>
    <col min="8161" max="8161" width="47" style="4" customWidth="1"/>
    <col min="8162" max="8162" width="15.140625" style="4" customWidth="1"/>
    <col min="8163" max="8163" width="16.85546875" style="4" customWidth="1"/>
    <col min="8164" max="8164" width="16.28515625" style="4" customWidth="1"/>
    <col min="8165" max="8165" width="11.42578125" style="4" customWidth="1"/>
    <col min="8166" max="8166" width="60.5703125" style="4" customWidth="1"/>
    <col min="8167" max="8415" width="9.140625" style="4"/>
    <col min="8416" max="8416" width="27.42578125" style="4" customWidth="1"/>
    <col min="8417" max="8417" width="47" style="4" customWidth="1"/>
    <col min="8418" max="8418" width="15.140625" style="4" customWidth="1"/>
    <col min="8419" max="8419" width="16.85546875" style="4" customWidth="1"/>
    <col min="8420" max="8420" width="16.28515625" style="4" customWidth="1"/>
    <col min="8421" max="8421" width="11.42578125" style="4" customWidth="1"/>
    <col min="8422" max="8422" width="60.5703125" style="4" customWidth="1"/>
    <col min="8423" max="8671" width="9.140625" style="4"/>
    <col min="8672" max="8672" width="27.42578125" style="4" customWidth="1"/>
    <col min="8673" max="8673" width="47" style="4" customWidth="1"/>
    <col min="8674" max="8674" width="15.140625" style="4" customWidth="1"/>
    <col min="8675" max="8675" width="16.85546875" style="4" customWidth="1"/>
    <col min="8676" max="8676" width="16.28515625" style="4" customWidth="1"/>
    <col min="8677" max="8677" width="11.42578125" style="4" customWidth="1"/>
    <col min="8678" max="8678" width="60.5703125" style="4" customWidth="1"/>
    <col min="8679" max="8927" width="9.140625" style="4"/>
    <col min="8928" max="8928" width="27.42578125" style="4" customWidth="1"/>
    <col min="8929" max="8929" width="47" style="4" customWidth="1"/>
    <col min="8930" max="8930" width="15.140625" style="4" customWidth="1"/>
    <col min="8931" max="8931" width="16.85546875" style="4" customWidth="1"/>
    <col min="8932" max="8932" width="16.28515625" style="4" customWidth="1"/>
    <col min="8933" max="8933" width="11.42578125" style="4" customWidth="1"/>
    <col min="8934" max="8934" width="60.5703125" style="4" customWidth="1"/>
    <col min="8935" max="9183" width="9.140625" style="4"/>
    <col min="9184" max="9184" width="27.42578125" style="4" customWidth="1"/>
    <col min="9185" max="9185" width="47" style="4" customWidth="1"/>
    <col min="9186" max="9186" width="15.140625" style="4" customWidth="1"/>
    <col min="9187" max="9187" width="16.85546875" style="4" customWidth="1"/>
    <col min="9188" max="9188" width="16.28515625" style="4" customWidth="1"/>
    <col min="9189" max="9189" width="11.42578125" style="4" customWidth="1"/>
    <col min="9190" max="9190" width="60.5703125" style="4" customWidth="1"/>
    <col min="9191" max="9439" width="9.140625" style="4"/>
    <col min="9440" max="9440" width="27.42578125" style="4" customWidth="1"/>
    <col min="9441" max="9441" width="47" style="4" customWidth="1"/>
    <col min="9442" max="9442" width="15.140625" style="4" customWidth="1"/>
    <col min="9443" max="9443" width="16.85546875" style="4" customWidth="1"/>
    <col min="9444" max="9444" width="16.28515625" style="4" customWidth="1"/>
    <col min="9445" max="9445" width="11.42578125" style="4" customWidth="1"/>
    <col min="9446" max="9446" width="60.5703125" style="4" customWidth="1"/>
    <col min="9447" max="9695" width="9.140625" style="4"/>
    <col min="9696" max="9696" width="27.42578125" style="4" customWidth="1"/>
    <col min="9697" max="9697" width="47" style="4" customWidth="1"/>
    <col min="9698" max="9698" width="15.140625" style="4" customWidth="1"/>
    <col min="9699" max="9699" width="16.85546875" style="4" customWidth="1"/>
    <col min="9700" max="9700" width="16.28515625" style="4" customWidth="1"/>
    <col min="9701" max="9701" width="11.42578125" style="4" customWidth="1"/>
    <col min="9702" max="9702" width="60.5703125" style="4" customWidth="1"/>
    <col min="9703" max="9951" width="9.140625" style="4"/>
    <col min="9952" max="9952" width="27.42578125" style="4" customWidth="1"/>
    <col min="9953" max="9953" width="47" style="4" customWidth="1"/>
    <col min="9954" max="9954" width="15.140625" style="4" customWidth="1"/>
    <col min="9955" max="9955" width="16.85546875" style="4" customWidth="1"/>
    <col min="9956" max="9956" width="16.28515625" style="4" customWidth="1"/>
    <col min="9957" max="9957" width="11.42578125" style="4" customWidth="1"/>
    <col min="9958" max="9958" width="60.5703125" style="4" customWidth="1"/>
    <col min="9959" max="10207" width="9.140625" style="4"/>
    <col min="10208" max="10208" width="27.42578125" style="4" customWidth="1"/>
    <col min="10209" max="10209" width="47" style="4" customWidth="1"/>
    <col min="10210" max="10210" width="15.140625" style="4" customWidth="1"/>
    <col min="10211" max="10211" width="16.85546875" style="4" customWidth="1"/>
    <col min="10212" max="10212" width="16.28515625" style="4" customWidth="1"/>
    <col min="10213" max="10213" width="11.42578125" style="4" customWidth="1"/>
    <col min="10214" max="10214" width="60.5703125" style="4" customWidth="1"/>
    <col min="10215" max="10463" width="9.140625" style="4"/>
    <col min="10464" max="10464" width="27.42578125" style="4" customWidth="1"/>
    <col min="10465" max="10465" width="47" style="4" customWidth="1"/>
    <col min="10466" max="10466" width="15.140625" style="4" customWidth="1"/>
    <col min="10467" max="10467" width="16.85546875" style="4" customWidth="1"/>
    <col min="10468" max="10468" width="16.28515625" style="4" customWidth="1"/>
    <col min="10469" max="10469" width="11.42578125" style="4" customWidth="1"/>
    <col min="10470" max="10470" width="60.5703125" style="4" customWidth="1"/>
    <col min="10471" max="10719" width="9.140625" style="4"/>
    <col min="10720" max="10720" width="27.42578125" style="4" customWidth="1"/>
    <col min="10721" max="10721" width="47" style="4" customWidth="1"/>
    <col min="10722" max="10722" width="15.140625" style="4" customWidth="1"/>
    <col min="10723" max="10723" width="16.85546875" style="4" customWidth="1"/>
    <col min="10724" max="10724" width="16.28515625" style="4" customWidth="1"/>
    <col min="10725" max="10725" width="11.42578125" style="4" customWidth="1"/>
    <col min="10726" max="10726" width="60.5703125" style="4" customWidth="1"/>
    <col min="10727" max="10975" width="9.140625" style="4"/>
    <col min="10976" max="10976" width="27.42578125" style="4" customWidth="1"/>
    <col min="10977" max="10977" width="47" style="4" customWidth="1"/>
    <col min="10978" max="10978" width="15.140625" style="4" customWidth="1"/>
    <col min="10979" max="10979" width="16.85546875" style="4" customWidth="1"/>
    <col min="10980" max="10980" width="16.28515625" style="4" customWidth="1"/>
    <col min="10981" max="10981" width="11.42578125" style="4" customWidth="1"/>
    <col min="10982" max="10982" width="60.5703125" style="4" customWidth="1"/>
    <col min="10983" max="11231" width="9.140625" style="4"/>
    <col min="11232" max="11232" width="27.42578125" style="4" customWidth="1"/>
    <col min="11233" max="11233" width="47" style="4" customWidth="1"/>
    <col min="11234" max="11234" width="15.140625" style="4" customWidth="1"/>
    <col min="11235" max="11235" width="16.85546875" style="4" customWidth="1"/>
    <col min="11236" max="11236" width="16.28515625" style="4" customWidth="1"/>
    <col min="11237" max="11237" width="11.42578125" style="4" customWidth="1"/>
    <col min="11238" max="11238" width="60.5703125" style="4" customWidth="1"/>
    <col min="11239" max="11487" width="9.140625" style="4"/>
    <col min="11488" max="11488" width="27.42578125" style="4" customWidth="1"/>
    <col min="11489" max="11489" width="47" style="4" customWidth="1"/>
    <col min="11490" max="11490" width="15.140625" style="4" customWidth="1"/>
    <col min="11491" max="11491" width="16.85546875" style="4" customWidth="1"/>
    <col min="11492" max="11492" width="16.28515625" style="4" customWidth="1"/>
    <col min="11493" max="11493" width="11.42578125" style="4" customWidth="1"/>
    <col min="11494" max="11494" width="60.5703125" style="4" customWidth="1"/>
    <col min="11495" max="11743" width="9.140625" style="4"/>
    <col min="11744" max="11744" width="27.42578125" style="4" customWidth="1"/>
    <col min="11745" max="11745" width="47" style="4" customWidth="1"/>
    <col min="11746" max="11746" width="15.140625" style="4" customWidth="1"/>
    <col min="11747" max="11747" width="16.85546875" style="4" customWidth="1"/>
    <col min="11748" max="11748" width="16.28515625" style="4" customWidth="1"/>
    <col min="11749" max="11749" width="11.42578125" style="4" customWidth="1"/>
    <col min="11750" max="11750" width="60.5703125" style="4" customWidth="1"/>
    <col min="11751" max="11999" width="9.140625" style="4"/>
    <col min="12000" max="12000" width="27.42578125" style="4" customWidth="1"/>
    <col min="12001" max="12001" width="47" style="4" customWidth="1"/>
    <col min="12002" max="12002" width="15.140625" style="4" customWidth="1"/>
    <col min="12003" max="12003" width="16.85546875" style="4" customWidth="1"/>
    <col min="12004" max="12004" width="16.28515625" style="4" customWidth="1"/>
    <col min="12005" max="12005" width="11.42578125" style="4" customWidth="1"/>
    <col min="12006" max="12006" width="60.5703125" style="4" customWidth="1"/>
    <col min="12007" max="12255" width="9.140625" style="4"/>
    <col min="12256" max="12256" width="27.42578125" style="4" customWidth="1"/>
    <col min="12257" max="12257" width="47" style="4" customWidth="1"/>
    <col min="12258" max="12258" width="15.140625" style="4" customWidth="1"/>
    <col min="12259" max="12259" width="16.85546875" style="4" customWidth="1"/>
    <col min="12260" max="12260" width="16.28515625" style="4" customWidth="1"/>
    <col min="12261" max="12261" width="11.42578125" style="4" customWidth="1"/>
    <col min="12262" max="12262" width="60.5703125" style="4" customWidth="1"/>
    <col min="12263" max="12511" width="9.140625" style="4"/>
    <col min="12512" max="12512" width="27.42578125" style="4" customWidth="1"/>
    <col min="12513" max="12513" width="47" style="4" customWidth="1"/>
    <col min="12514" max="12514" width="15.140625" style="4" customWidth="1"/>
    <col min="12515" max="12515" width="16.85546875" style="4" customWidth="1"/>
    <col min="12516" max="12516" width="16.28515625" style="4" customWidth="1"/>
    <col min="12517" max="12517" width="11.42578125" style="4" customWidth="1"/>
    <col min="12518" max="12518" width="60.5703125" style="4" customWidth="1"/>
    <col min="12519" max="12767" width="9.140625" style="4"/>
    <col min="12768" max="12768" width="27.42578125" style="4" customWidth="1"/>
    <col min="12769" max="12769" width="47" style="4" customWidth="1"/>
    <col min="12770" max="12770" width="15.140625" style="4" customWidth="1"/>
    <col min="12771" max="12771" width="16.85546875" style="4" customWidth="1"/>
    <col min="12772" max="12772" width="16.28515625" style="4" customWidth="1"/>
    <col min="12773" max="12773" width="11.42578125" style="4" customWidth="1"/>
    <col min="12774" max="12774" width="60.5703125" style="4" customWidth="1"/>
    <col min="12775" max="13023" width="9.140625" style="4"/>
    <col min="13024" max="13024" width="27.42578125" style="4" customWidth="1"/>
    <col min="13025" max="13025" width="47" style="4" customWidth="1"/>
    <col min="13026" max="13026" width="15.140625" style="4" customWidth="1"/>
    <col min="13027" max="13027" width="16.85546875" style="4" customWidth="1"/>
    <col min="13028" max="13028" width="16.28515625" style="4" customWidth="1"/>
    <col min="13029" max="13029" width="11.42578125" style="4" customWidth="1"/>
    <col min="13030" max="13030" width="60.5703125" style="4" customWidth="1"/>
    <col min="13031" max="13279" width="9.140625" style="4"/>
    <col min="13280" max="13280" width="27.42578125" style="4" customWidth="1"/>
    <col min="13281" max="13281" width="47" style="4" customWidth="1"/>
    <col min="13282" max="13282" width="15.140625" style="4" customWidth="1"/>
    <col min="13283" max="13283" width="16.85546875" style="4" customWidth="1"/>
    <col min="13284" max="13284" width="16.28515625" style="4" customWidth="1"/>
    <col min="13285" max="13285" width="11.42578125" style="4" customWidth="1"/>
    <col min="13286" max="13286" width="60.5703125" style="4" customWidth="1"/>
    <col min="13287" max="13535" width="9.140625" style="4"/>
    <col min="13536" max="13536" width="27.42578125" style="4" customWidth="1"/>
    <col min="13537" max="13537" width="47" style="4" customWidth="1"/>
    <col min="13538" max="13538" width="15.140625" style="4" customWidth="1"/>
    <col min="13539" max="13539" width="16.85546875" style="4" customWidth="1"/>
    <col min="13540" max="13540" width="16.28515625" style="4" customWidth="1"/>
    <col min="13541" max="13541" width="11.42578125" style="4" customWidth="1"/>
    <col min="13542" max="13542" width="60.5703125" style="4" customWidth="1"/>
    <col min="13543" max="13791" width="9.140625" style="4"/>
    <col min="13792" max="13792" width="27.42578125" style="4" customWidth="1"/>
    <col min="13793" max="13793" width="47" style="4" customWidth="1"/>
    <col min="13794" max="13794" width="15.140625" style="4" customWidth="1"/>
    <col min="13795" max="13795" width="16.85546875" style="4" customWidth="1"/>
    <col min="13796" max="13796" width="16.28515625" style="4" customWidth="1"/>
    <col min="13797" max="13797" width="11.42578125" style="4" customWidth="1"/>
    <col min="13798" max="13798" width="60.5703125" style="4" customWidth="1"/>
    <col min="13799" max="14047" width="9.140625" style="4"/>
    <col min="14048" max="14048" width="27.42578125" style="4" customWidth="1"/>
    <col min="14049" max="14049" width="47" style="4" customWidth="1"/>
    <col min="14050" max="14050" width="15.140625" style="4" customWidth="1"/>
    <col min="14051" max="14051" width="16.85546875" style="4" customWidth="1"/>
    <col min="14052" max="14052" width="16.28515625" style="4" customWidth="1"/>
    <col min="14053" max="14053" width="11.42578125" style="4" customWidth="1"/>
    <col min="14054" max="14054" width="60.5703125" style="4" customWidth="1"/>
    <col min="14055" max="14303" width="9.140625" style="4"/>
    <col min="14304" max="14304" width="27.42578125" style="4" customWidth="1"/>
    <col min="14305" max="14305" width="47" style="4" customWidth="1"/>
    <col min="14306" max="14306" width="15.140625" style="4" customWidth="1"/>
    <col min="14307" max="14307" width="16.85546875" style="4" customWidth="1"/>
    <col min="14308" max="14308" width="16.28515625" style="4" customWidth="1"/>
    <col min="14309" max="14309" width="11.42578125" style="4" customWidth="1"/>
    <col min="14310" max="14310" width="60.5703125" style="4" customWidth="1"/>
    <col min="14311" max="14559" width="9.140625" style="4"/>
    <col min="14560" max="14560" width="27.42578125" style="4" customWidth="1"/>
    <col min="14561" max="14561" width="47" style="4" customWidth="1"/>
    <col min="14562" max="14562" width="15.140625" style="4" customWidth="1"/>
    <col min="14563" max="14563" width="16.85546875" style="4" customWidth="1"/>
    <col min="14564" max="14564" width="16.28515625" style="4" customWidth="1"/>
    <col min="14565" max="14565" width="11.42578125" style="4" customWidth="1"/>
    <col min="14566" max="14566" width="60.5703125" style="4" customWidth="1"/>
    <col min="14567" max="14815" width="9.140625" style="4"/>
    <col min="14816" max="14816" width="27.42578125" style="4" customWidth="1"/>
    <col min="14817" max="14817" width="47" style="4" customWidth="1"/>
    <col min="14818" max="14818" width="15.140625" style="4" customWidth="1"/>
    <col min="14819" max="14819" width="16.85546875" style="4" customWidth="1"/>
    <col min="14820" max="14820" width="16.28515625" style="4" customWidth="1"/>
    <col min="14821" max="14821" width="11.42578125" style="4" customWidth="1"/>
    <col min="14822" max="14822" width="60.5703125" style="4" customWidth="1"/>
    <col min="14823" max="15071" width="9.140625" style="4"/>
    <col min="15072" max="15072" width="27.42578125" style="4" customWidth="1"/>
    <col min="15073" max="15073" width="47" style="4" customWidth="1"/>
    <col min="15074" max="15074" width="15.140625" style="4" customWidth="1"/>
    <col min="15075" max="15075" width="16.85546875" style="4" customWidth="1"/>
    <col min="15076" max="15076" width="16.28515625" style="4" customWidth="1"/>
    <col min="15077" max="15077" width="11.42578125" style="4" customWidth="1"/>
    <col min="15078" max="15078" width="60.5703125" style="4" customWidth="1"/>
    <col min="15079" max="15327" width="9.140625" style="4"/>
    <col min="15328" max="15328" width="27.42578125" style="4" customWidth="1"/>
    <col min="15329" max="15329" width="47" style="4" customWidth="1"/>
    <col min="15330" max="15330" width="15.140625" style="4" customWidth="1"/>
    <col min="15331" max="15331" width="16.85546875" style="4" customWidth="1"/>
    <col min="15332" max="15332" width="16.28515625" style="4" customWidth="1"/>
    <col min="15333" max="15333" width="11.42578125" style="4" customWidth="1"/>
    <col min="15334" max="15334" width="60.5703125" style="4" customWidth="1"/>
    <col min="15335" max="15583" width="9.140625" style="4"/>
    <col min="15584" max="15584" width="27.42578125" style="4" customWidth="1"/>
    <col min="15585" max="15585" width="47" style="4" customWidth="1"/>
    <col min="15586" max="15586" width="15.140625" style="4" customWidth="1"/>
    <col min="15587" max="15587" width="16.85546875" style="4" customWidth="1"/>
    <col min="15588" max="15588" width="16.28515625" style="4" customWidth="1"/>
    <col min="15589" max="15589" width="11.42578125" style="4" customWidth="1"/>
    <col min="15590" max="15590" width="60.5703125" style="4" customWidth="1"/>
    <col min="15591" max="15839" width="9.140625" style="4"/>
    <col min="15840" max="15840" width="27.42578125" style="4" customWidth="1"/>
    <col min="15841" max="15841" width="47" style="4" customWidth="1"/>
    <col min="15842" max="15842" width="15.140625" style="4" customWidth="1"/>
    <col min="15843" max="15843" width="16.85546875" style="4" customWidth="1"/>
    <col min="15844" max="15844" width="16.28515625" style="4" customWidth="1"/>
    <col min="15845" max="15845" width="11.42578125" style="4" customWidth="1"/>
    <col min="15846" max="15846" width="60.5703125" style="4" customWidth="1"/>
    <col min="15847" max="16095" width="9.140625" style="4"/>
    <col min="16096" max="16096" width="27.42578125" style="4" customWidth="1"/>
    <col min="16097" max="16097" width="47" style="4" customWidth="1"/>
    <col min="16098" max="16098" width="15.140625" style="4" customWidth="1"/>
    <col min="16099" max="16099" width="16.85546875" style="4" customWidth="1"/>
    <col min="16100" max="16100" width="16.28515625" style="4" customWidth="1"/>
    <col min="16101" max="16101" width="11.42578125" style="4" customWidth="1"/>
    <col min="16102" max="16102" width="60.5703125" style="4" customWidth="1"/>
    <col min="16103" max="16384" width="9.140625" style="4"/>
  </cols>
  <sheetData>
    <row r="1" spans="1:6" s="48" customFormat="1" ht="32.25" customHeight="1" x14ac:dyDescent="0.25">
      <c r="A1" s="47" t="s">
        <v>231</v>
      </c>
      <c r="B1" s="47"/>
      <c r="C1" s="47"/>
      <c r="D1" s="47"/>
      <c r="E1" s="47"/>
    </row>
    <row r="2" spans="1:6" s="1" customFormat="1" ht="15.75" customHeight="1" x14ac:dyDescent="0.25">
      <c r="A2" s="31" t="s">
        <v>0</v>
      </c>
      <c r="B2" s="31"/>
      <c r="C2" s="31"/>
      <c r="D2" s="31"/>
      <c r="E2" s="31"/>
    </row>
    <row r="3" spans="1:6" s="1" customFormat="1" ht="14.25" customHeight="1" x14ac:dyDescent="0.25">
      <c r="A3" s="2"/>
      <c r="B3" s="2"/>
      <c r="C3" s="3"/>
      <c r="D3" s="49" t="s">
        <v>232</v>
      </c>
      <c r="F3" s="49" t="s">
        <v>106</v>
      </c>
    </row>
    <row r="4" spans="1:6" ht="23.45" customHeight="1" x14ac:dyDescent="0.25">
      <c r="A4" s="50" t="s">
        <v>1</v>
      </c>
      <c r="B4" s="51" t="s">
        <v>2</v>
      </c>
      <c r="C4" s="52" t="s">
        <v>233</v>
      </c>
      <c r="D4" s="53" t="s">
        <v>234</v>
      </c>
      <c r="E4" s="54" t="s">
        <v>61</v>
      </c>
      <c r="F4" s="54"/>
    </row>
    <row r="5" spans="1:6" ht="30.75" customHeight="1" x14ac:dyDescent="0.25">
      <c r="A5" s="50"/>
      <c r="B5" s="51"/>
      <c r="C5" s="52"/>
      <c r="D5" s="53"/>
      <c r="E5" s="54"/>
      <c r="F5" s="54"/>
    </row>
    <row r="6" spans="1:6" ht="33.75" customHeight="1" x14ac:dyDescent="0.25">
      <c r="A6" s="5" t="s">
        <v>3</v>
      </c>
      <c r="B6" s="55" t="s">
        <v>4</v>
      </c>
      <c r="C6" s="6">
        <f>C7+C9+C11+C17+C22++C29+C41+C43+C49+C58+C59</f>
        <v>10473903</v>
      </c>
      <c r="D6" s="6">
        <f>D7+D9+D11+D17+D22++D29+D41+D43+D49+D58+D59</f>
        <v>10860853</v>
      </c>
      <c r="E6" s="73">
        <f>D6/C6*100</f>
        <v>103.69442031303899</v>
      </c>
      <c r="F6" s="73"/>
    </row>
    <row r="7" spans="1:6" s="1" customFormat="1" ht="20.25" customHeight="1" x14ac:dyDescent="0.25">
      <c r="A7" s="5" t="s">
        <v>5</v>
      </c>
      <c r="B7" s="56" t="s">
        <v>6</v>
      </c>
      <c r="C7" s="6">
        <f>C8</f>
        <v>6354441</v>
      </c>
      <c r="D7" s="6">
        <f>D8</f>
        <v>6701059</v>
      </c>
      <c r="E7" s="73">
        <f t="shared" ref="E7:E60" si="0">D7/C7*100</f>
        <v>105.45473630174551</v>
      </c>
      <c r="F7" s="73"/>
    </row>
    <row r="8" spans="1:6" s="1" customFormat="1" ht="25.15" customHeight="1" x14ac:dyDescent="0.25">
      <c r="A8" s="7" t="s">
        <v>7</v>
      </c>
      <c r="B8" s="57" t="s">
        <v>8</v>
      </c>
      <c r="C8" s="8">
        <v>6354441</v>
      </c>
      <c r="D8" s="8">
        <v>6701059</v>
      </c>
      <c r="E8" s="72">
        <f t="shared" si="0"/>
        <v>105.45473630174551</v>
      </c>
      <c r="F8" s="72"/>
    </row>
    <row r="9" spans="1:6" s="1" customFormat="1" ht="49.5" customHeight="1" x14ac:dyDescent="0.25">
      <c r="A9" s="5" t="s">
        <v>9</v>
      </c>
      <c r="B9" s="58" t="s">
        <v>10</v>
      </c>
      <c r="C9" s="6">
        <f>C10</f>
        <v>93536</v>
      </c>
      <c r="D9" s="6">
        <f>D10</f>
        <v>93536</v>
      </c>
      <c r="E9" s="73">
        <f t="shared" si="0"/>
        <v>100</v>
      </c>
      <c r="F9" s="73"/>
    </row>
    <row r="10" spans="1:6" s="1" customFormat="1" ht="54" customHeight="1" x14ac:dyDescent="0.25">
      <c r="A10" s="7" t="s">
        <v>11</v>
      </c>
      <c r="B10" s="59" t="s">
        <v>12</v>
      </c>
      <c r="C10" s="8">
        <v>93536</v>
      </c>
      <c r="D10" s="8">
        <v>93536</v>
      </c>
      <c r="E10" s="72">
        <f t="shared" si="0"/>
        <v>100</v>
      </c>
      <c r="F10" s="72"/>
    </row>
    <row r="11" spans="1:6" ht="27.6" customHeight="1" x14ac:dyDescent="0.25">
      <c r="A11" s="5" t="s">
        <v>13</v>
      </c>
      <c r="B11" s="56" t="s">
        <v>14</v>
      </c>
      <c r="C11" s="6">
        <f>SUM(C12:C16)</f>
        <v>1563908</v>
      </c>
      <c r="D11" s="6">
        <f>SUM(D12:D16)</f>
        <v>1502348</v>
      </c>
      <c r="E11" s="73">
        <f t="shared" si="0"/>
        <v>96.063707072283023</v>
      </c>
      <c r="F11" s="73"/>
    </row>
    <row r="12" spans="1:6" ht="39" customHeight="1" x14ac:dyDescent="0.25">
      <c r="A12" s="10" t="s">
        <v>62</v>
      </c>
      <c r="B12" s="60" t="s">
        <v>15</v>
      </c>
      <c r="C12" s="8">
        <v>1358421</v>
      </c>
      <c r="D12" s="8">
        <v>1296470</v>
      </c>
      <c r="E12" s="72">
        <f t="shared" si="0"/>
        <v>95.43948451915864</v>
      </c>
      <c r="F12" s="72"/>
    </row>
    <row r="13" spans="1:6" ht="37.5" customHeight="1" x14ac:dyDescent="0.25">
      <c r="A13" s="7" t="s">
        <v>16</v>
      </c>
      <c r="B13" s="59" t="s">
        <v>17</v>
      </c>
      <c r="C13" s="8"/>
      <c r="D13" s="8">
        <v>85</v>
      </c>
      <c r="E13" s="72"/>
      <c r="F13" s="72"/>
    </row>
    <row r="14" spans="1:6" ht="23.25" customHeight="1" x14ac:dyDescent="0.25">
      <c r="A14" s="7" t="s">
        <v>18</v>
      </c>
      <c r="B14" s="59" t="s">
        <v>19</v>
      </c>
      <c r="C14" s="8"/>
      <c r="D14" s="8">
        <v>306</v>
      </c>
      <c r="E14" s="72"/>
      <c r="F14" s="72"/>
    </row>
    <row r="15" spans="1:6" ht="31.5" x14ac:dyDescent="0.25">
      <c r="A15" s="10" t="s">
        <v>20</v>
      </c>
      <c r="B15" s="60" t="s">
        <v>21</v>
      </c>
      <c r="C15" s="8">
        <v>196377</v>
      </c>
      <c r="D15" s="8">
        <v>196377</v>
      </c>
      <c r="E15" s="72">
        <f t="shared" si="0"/>
        <v>100</v>
      </c>
      <c r="F15" s="72"/>
    </row>
    <row r="16" spans="1:6" ht="76.5" customHeight="1" x14ac:dyDescent="0.25">
      <c r="A16" s="10" t="s">
        <v>113</v>
      </c>
      <c r="B16" s="60" t="s">
        <v>114</v>
      </c>
      <c r="C16" s="8">
        <v>9110</v>
      </c>
      <c r="D16" s="8">
        <v>9110</v>
      </c>
      <c r="E16" s="72">
        <f t="shared" si="0"/>
        <v>100</v>
      </c>
      <c r="F16" s="72"/>
    </row>
    <row r="17" spans="1:6" ht="24.6" customHeight="1" x14ac:dyDescent="0.25">
      <c r="A17" s="11" t="s">
        <v>73</v>
      </c>
      <c r="B17" s="61" t="s">
        <v>74</v>
      </c>
      <c r="C17" s="6">
        <f>C18+C19</f>
        <v>1279622</v>
      </c>
      <c r="D17" s="6">
        <f>D18+D19</f>
        <v>1293622</v>
      </c>
      <c r="E17" s="73">
        <f t="shared" si="0"/>
        <v>101.09407309346041</v>
      </c>
      <c r="F17" s="73"/>
    </row>
    <row r="18" spans="1:6" ht="28.9" customHeight="1" x14ac:dyDescent="0.25">
      <c r="A18" s="10" t="s">
        <v>75</v>
      </c>
      <c r="B18" s="60" t="s">
        <v>76</v>
      </c>
      <c r="C18" s="8">
        <v>274911</v>
      </c>
      <c r="D18" s="8">
        <v>274911</v>
      </c>
      <c r="E18" s="72">
        <f t="shared" si="0"/>
        <v>100</v>
      </c>
      <c r="F18" s="72"/>
    </row>
    <row r="19" spans="1:6" ht="24.6" customHeight="1" x14ac:dyDescent="0.25">
      <c r="A19" s="10" t="s">
        <v>78</v>
      </c>
      <c r="B19" s="60" t="s">
        <v>77</v>
      </c>
      <c r="C19" s="8">
        <f>C20+C21</f>
        <v>1004711</v>
      </c>
      <c r="D19" s="8">
        <f>D20+D21</f>
        <v>1018711</v>
      </c>
      <c r="E19" s="72">
        <f t="shared" si="0"/>
        <v>101.39343552524058</v>
      </c>
      <c r="F19" s="72"/>
    </row>
    <row r="20" spans="1:6" ht="24" customHeight="1" x14ac:dyDescent="0.25">
      <c r="A20" s="10" t="s">
        <v>82</v>
      </c>
      <c r="B20" s="60" t="s">
        <v>79</v>
      </c>
      <c r="C20" s="8">
        <v>526315</v>
      </c>
      <c r="D20" s="8">
        <v>540315</v>
      </c>
      <c r="E20" s="72">
        <f t="shared" si="0"/>
        <v>102.66000399000599</v>
      </c>
      <c r="F20" s="72"/>
    </row>
    <row r="21" spans="1:6" ht="24" customHeight="1" x14ac:dyDescent="0.25">
      <c r="A21" s="10" t="s">
        <v>81</v>
      </c>
      <c r="B21" s="60" t="s">
        <v>80</v>
      </c>
      <c r="C21" s="8">
        <v>478396</v>
      </c>
      <c r="D21" s="8">
        <v>478396</v>
      </c>
      <c r="E21" s="72">
        <f t="shared" si="0"/>
        <v>100</v>
      </c>
      <c r="F21" s="72"/>
    </row>
    <row r="22" spans="1:6" ht="31.15" customHeight="1" x14ac:dyDescent="0.25">
      <c r="A22" s="5" t="s">
        <v>22</v>
      </c>
      <c r="B22" s="56" t="s">
        <v>23</v>
      </c>
      <c r="C22" s="6">
        <f>C23+C27+C25</f>
        <v>183144</v>
      </c>
      <c r="D22" s="6">
        <f>D23+D27+D25</f>
        <v>194984</v>
      </c>
      <c r="E22" s="72">
        <f t="shared" si="0"/>
        <v>106.46485825361465</v>
      </c>
      <c r="F22" s="72"/>
    </row>
    <row r="23" spans="1:6" ht="52.15" customHeight="1" x14ac:dyDescent="0.25">
      <c r="A23" s="7" t="s">
        <v>24</v>
      </c>
      <c r="B23" s="59" t="s">
        <v>25</v>
      </c>
      <c r="C23" s="8">
        <f>C24</f>
        <v>183000</v>
      </c>
      <c r="D23" s="8">
        <f>D24</f>
        <v>194832</v>
      </c>
      <c r="E23" s="72">
        <f t="shared" si="0"/>
        <v>106.4655737704918</v>
      </c>
      <c r="F23" s="72"/>
    </row>
    <row r="24" spans="1:6" ht="81" customHeight="1" x14ac:dyDescent="0.25">
      <c r="A24" s="7" t="s">
        <v>26</v>
      </c>
      <c r="B24" s="62" t="s">
        <v>27</v>
      </c>
      <c r="C24" s="8">
        <v>183000</v>
      </c>
      <c r="D24" s="8">
        <v>194832</v>
      </c>
      <c r="E24" s="72">
        <f t="shared" si="0"/>
        <v>106.4655737704918</v>
      </c>
      <c r="F24" s="72"/>
    </row>
    <row r="25" spans="1:6" ht="75.75" customHeight="1" x14ac:dyDescent="0.25">
      <c r="A25" s="7" t="s">
        <v>115</v>
      </c>
      <c r="B25" s="62" t="s">
        <v>116</v>
      </c>
      <c r="C25" s="8">
        <f>C26</f>
        <v>14</v>
      </c>
      <c r="D25" s="8">
        <f>D26</f>
        <v>22</v>
      </c>
      <c r="E25" s="72">
        <f t="shared" si="0"/>
        <v>157.14285714285714</v>
      </c>
      <c r="F25" s="72"/>
    </row>
    <row r="26" spans="1:6" ht="121.5" customHeight="1" x14ac:dyDescent="0.25">
      <c r="A26" s="7" t="s">
        <v>117</v>
      </c>
      <c r="B26" s="62" t="s">
        <v>118</v>
      </c>
      <c r="C26" s="8">
        <v>14</v>
      </c>
      <c r="D26" s="13">
        <v>22</v>
      </c>
      <c r="E26" s="72">
        <f t="shared" si="0"/>
        <v>157.14285714285714</v>
      </c>
      <c r="F26" s="72"/>
    </row>
    <row r="27" spans="1:6" ht="75.75" customHeight="1" x14ac:dyDescent="0.25">
      <c r="A27" s="7" t="s">
        <v>28</v>
      </c>
      <c r="B27" s="62" t="s">
        <v>29</v>
      </c>
      <c r="C27" s="8">
        <f>C28</f>
        <v>130</v>
      </c>
      <c r="D27" s="8">
        <f>D28</f>
        <v>130</v>
      </c>
      <c r="E27" s="72">
        <f t="shared" si="0"/>
        <v>100</v>
      </c>
      <c r="F27" s="72"/>
    </row>
    <row r="28" spans="1:6" ht="57" customHeight="1" x14ac:dyDescent="0.25">
      <c r="A28" s="7" t="s">
        <v>30</v>
      </c>
      <c r="B28" s="59" t="s">
        <v>31</v>
      </c>
      <c r="C28" s="8">
        <v>130</v>
      </c>
      <c r="D28" s="8">
        <v>130</v>
      </c>
      <c r="E28" s="72">
        <f t="shared" si="0"/>
        <v>100</v>
      </c>
      <c r="F28" s="72"/>
    </row>
    <row r="29" spans="1:6" ht="60.75" customHeight="1" x14ac:dyDescent="0.25">
      <c r="A29" s="5" t="s">
        <v>32</v>
      </c>
      <c r="B29" s="63" t="s">
        <v>33</v>
      </c>
      <c r="C29" s="6">
        <f>C32+C37+C38+C30</f>
        <v>685791</v>
      </c>
      <c r="D29" s="6">
        <f>D32+D37+D38+D30</f>
        <v>674446</v>
      </c>
      <c r="E29" s="73">
        <f t="shared" si="0"/>
        <v>98.345705907484941</v>
      </c>
      <c r="F29" s="73"/>
    </row>
    <row r="30" spans="1:6" ht="110.25" x14ac:dyDescent="0.25">
      <c r="A30" s="7" t="s">
        <v>235</v>
      </c>
      <c r="B30" s="59" t="s">
        <v>236</v>
      </c>
      <c r="C30" s="6">
        <f>C31</f>
        <v>15</v>
      </c>
      <c r="D30" s="6"/>
      <c r="E30" s="72"/>
      <c r="F30" s="72"/>
    </row>
    <row r="31" spans="1:6" ht="78.75" x14ac:dyDescent="0.25">
      <c r="A31" s="7" t="s">
        <v>237</v>
      </c>
      <c r="B31" s="59" t="s">
        <v>238</v>
      </c>
      <c r="C31" s="8">
        <v>15</v>
      </c>
      <c r="D31" s="6"/>
      <c r="E31" s="72"/>
      <c r="F31" s="72"/>
    </row>
    <row r="32" spans="1:6" ht="146.25" customHeight="1" x14ac:dyDescent="0.25">
      <c r="A32" s="14" t="s">
        <v>34</v>
      </c>
      <c r="B32" s="62" t="s">
        <v>35</v>
      </c>
      <c r="C32" s="8">
        <f>C33+C34+C35+C36</f>
        <v>596399</v>
      </c>
      <c r="D32" s="8">
        <f>D33+D34+D35+D36</f>
        <v>578082</v>
      </c>
      <c r="E32" s="72">
        <f t="shared" si="0"/>
        <v>96.928733951599526</v>
      </c>
      <c r="F32" s="72"/>
    </row>
    <row r="33" spans="1:6" ht="114.75" customHeight="1" x14ac:dyDescent="0.25">
      <c r="A33" s="14" t="s">
        <v>83</v>
      </c>
      <c r="B33" s="62" t="s">
        <v>84</v>
      </c>
      <c r="C33" s="8">
        <v>497828</v>
      </c>
      <c r="D33" s="8">
        <v>468256</v>
      </c>
      <c r="E33" s="72">
        <f t="shared" si="0"/>
        <v>94.059795752749949</v>
      </c>
      <c r="F33" s="72"/>
    </row>
    <row r="34" spans="1:6" ht="135" customHeight="1" x14ac:dyDescent="0.25">
      <c r="A34" s="7" t="s">
        <v>86</v>
      </c>
      <c r="B34" s="64" t="s">
        <v>85</v>
      </c>
      <c r="C34" s="8">
        <v>75854</v>
      </c>
      <c r="D34" s="8">
        <v>85807</v>
      </c>
      <c r="E34" s="72">
        <f t="shared" si="0"/>
        <v>113.12125926121233</v>
      </c>
      <c r="F34" s="72"/>
    </row>
    <row r="35" spans="1:6" ht="131.25" customHeight="1" x14ac:dyDescent="0.25">
      <c r="A35" s="9" t="s">
        <v>87</v>
      </c>
      <c r="B35" s="65" t="s">
        <v>88</v>
      </c>
      <c r="C35" s="8">
        <v>2000</v>
      </c>
      <c r="D35" s="8">
        <v>1519</v>
      </c>
      <c r="E35" s="72">
        <f t="shared" si="0"/>
        <v>75.949999999999989</v>
      </c>
      <c r="F35" s="72"/>
    </row>
    <row r="36" spans="1:6" ht="66" customHeight="1" x14ac:dyDescent="0.25">
      <c r="A36" s="7" t="s">
        <v>90</v>
      </c>
      <c r="B36" s="62" t="s">
        <v>89</v>
      </c>
      <c r="C36" s="8">
        <v>20717</v>
      </c>
      <c r="D36" s="8">
        <v>22500</v>
      </c>
      <c r="E36" s="72">
        <f t="shared" si="0"/>
        <v>108.60645846406334</v>
      </c>
      <c r="F36" s="72"/>
    </row>
    <row r="37" spans="1:6" ht="66" customHeight="1" x14ac:dyDescent="0.25">
      <c r="A37" s="7" t="s">
        <v>108</v>
      </c>
      <c r="B37" s="62" t="s">
        <v>107</v>
      </c>
      <c r="C37" s="8">
        <v>345</v>
      </c>
      <c r="D37" s="8">
        <v>368</v>
      </c>
      <c r="E37" s="72">
        <f t="shared" si="0"/>
        <v>106.66666666666667</v>
      </c>
      <c r="F37" s="72"/>
    </row>
    <row r="38" spans="1:6" ht="134.25" customHeight="1" x14ac:dyDescent="0.25">
      <c r="A38" s="7" t="s">
        <v>36</v>
      </c>
      <c r="B38" s="62" t="s">
        <v>37</v>
      </c>
      <c r="C38" s="8">
        <f>C39+C40</f>
        <v>89032</v>
      </c>
      <c r="D38" s="8">
        <f>D39+D40</f>
        <v>95996</v>
      </c>
      <c r="E38" s="72">
        <f t="shared" si="0"/>
        <v>107.82190673016443</v>
      </c>
      <c r="F38" s="72"/>
    </row>
    <row r="39" spans="1:6" ht="148.5" customHeight="1" x14ac:dyDescent="0.25">
      <c r="A39" s="66" t="s">
        <v>91</v>
      </c>
      <c r="B39" s="62" t="s">
        <v>92</v>
      </c>
      <c r="C39" s="8">
        <v>69532</v>
      </c>
      <c r="D39" s="8">
        <v>74306</v>
      </c>
      <c r="E39" s="72">
        <f t="shared" si="0"/>
        <v>106.86590346890641</v>
      </c>
      <c r="F39" s="72"/>
    </row>
    <row r="40" spans="1:6" ht="165.75" customHeight="1" x14ac:dyDescent="0.25">
      <c r="A40" s="66" t="s">
        <v>109</v>
      </c>
      <c r="B40" s="62" t="s">
        <v>110</v>
      </c>
      <c r="C40" s="8">
        <v>19500</v>
      </c>
      <c r="D40" s="8">
        <v>21690</v>
      </c>
      <c r="E40" s="72">
        <f t="shared" si="0"/>
        <v>111.23076923076923</v>
      </c>
      <c r="F40" s="72"/>
    </row>
    <row r="41" spans="1:6" ht="34.15" customHeight="1" x14ac:dyDescent="0.25">
      <c r="A41" s="5" t="s">
        <v>38</v>
      </c>
      <c r="B41" s="63" t="s">
        <v>39</v>
      </c>
      <c r="C41" s="6">
        <f>C42</f>
        <v>4432</v>
      </c>
      <c r="D41" s="6">
        <f>D42</f>
        <v>2630</v>
      </c>
      <c r="E41" s="73">
        <f t="shared" si="0"/>
        <v>59.341155234657037</v>
      </c>
      <c r="F41" s="73"/>
    </row>
    <row r="42" spans="1:6" ht="36.75" customHeight="1" x14ac:dyDescent="0.25">
      <c r="A42" s="7" t="s">
        <v>40</v>
      </c>
      <c r="B42" s="59" t="s">
        <v>41</v>
      </c>
      <c r="C42" s="8">
        <v>4432</v>
      </c>
      <c r="D42" s="8">
        <v>2630</v>
      </c>
      <c r="E42" s="72">
        <f t="shared" si="0"/>
        <v>59.341155234657037</v>
      </c>
      <c r="F42" s="72"/>
    </row>
    <row r="43" spans="1:6" ht="47.45" customHeight="1" x14ac:dyDescent="0.25">
      <c r="A43" s="5" t="s">
        <v>42</v>
      </c>
      <c r="B43" s="63" t="s">
        <v>43</v>
      </c>
      <c r="C43" s="6">
        <f>C44+C46</f>
        <v>37000</v>
      </c>
      <c r="D43" s="6">
        <f>D44+D46</f>
        <v>39646</v>
      </c>
      <c r="E43" s="73">
        <f t="shared" si="0"/>
        <v>107.15135135135134</v>
      </c>
      <c r="F43" s="73"/>
    </row>
    <row r="44" spans="1:6" ht="24.75" customHeight="1" x14ac:dyDescent="0.25">
      <c r="A44" s="7" t="s">
        <v>67</v>
      </c>
      <c r="B44" s="59" t="s">
        <v>68</v>
      </c>
      <c r="C44" s="8">
        <f>C45</f>
        <v>13500</v>
      </c>
      <c r="D44" s="8">
        <f>D45</f>
        <v>13500</v>
      </c>
      <c r="E44" s="72">
        <f>D44/C44*100</f>
        <v>100</v>
      </c>
      <c r="F44" s="72"/>
    </row>
    <row r="45" spans="1:6" ht="36.75" customHeight="1" x14ac:dyDescent="0.25">
      <c r="A45" s="12" t="s">
        <v>93</v>
      </c>
      <c r="B45" s="67" t="s">
        <v>94</v>
      </c>
      <c r="C45" s="8">
        <v>13500</v>
      </c>
      <c r="D45" s="8">
        <v>13500</v>
      </c>
      <c r="E45" s="72">
        <f t="shared" si="0"/>
        <v>100</v>
      </c>
      <c r="F45" s="72"/>
    </row>
    <row r="46" spans="1:6" ht="30" customHeight="1" x14ac:dyDescent="0.25">
      <c r="A46" s="7" t="s">
        <v>44</v>
      </c>
      <c r="B46" s="59" t="s">
        <v>45</v>
      </c>
      <c r="C46" s="8">
        <f>C47+C48</f>
        <v>23500</v>
      </c>
      <c r="D46" s="8">
        <f>D47+D48</f>
        <v>26146</v>
      </c>
      <c r="E46" s="72">
        <f t="shared" si="0"/>
        <v>111.25957446808511</v>
      </c>
      <c r="F46" s="72"/>
    </row>
    <row r="47" spans="1:6" ht="55.5" customHeight="1" x14ac:dyDescent="0.25">
      <c r="A47" s="9" t="s">
        <v>95</v>
      </c>
      <c r="B47" s="59" t="s">
        <v>96</v>
      </c>
      <c r="C47" s="8">
        <v>3500</v>
      </c>
      <c r="D47" s="8">
        <v>3900</v>
      </c>
      <c r="E47" s="72">
        <f t="shared" si="0"/>
        <v>111.42857142857143</v>
      </c>
      <c r="F47" s="72"/>
    </row>
    <row r="48" spans="1:6" ht="35.25" customHeight="1" x14ac:dyDescent="0.25">
      <c r="A48" s="66" t="s">
        <v>97</v>
      </c>
      <c r="B48" s="59" t="s">
        <v>98</v>
      </c>
      <c r="C48" s="8">
        <v>20000</v>
      </c>
      <c r="D48" s="8">
        <v>22246</v>
      </c>
      <c r="E48" s="72">
        <f t="shared" si="0"/>
        <v>111.23</v>
      </c>
      <c r="F48" s="72"/>
    </row>
    <row r="49" spans="1:6" ht="36.6" customHeight="1" x14ac:dyDescent="0.25">
      <c r="A49" s="5" t="s">
        <v>46</v>
      </c>
      <c r="B49" s="63" t="s">
        <v>47</v>
      </c>
      <c r="C49" s="6">
        <f>C50+C53+C56</f>
        <v>214316</v>
      </c>
      <c r="D49" s="6">
        <f>D50+D53+D56</f>
        <v>287760</v>
      </c>
      <c r="E49" s="73">
        <f t="shared" si="0"/>
        <v>134.269023311372</v>
      </c>
      <c r="F49" s="73"/>
    </row>
    <row r="50" spans="1:6" ht="135" customHeight="1" x14ac:dyDescent="0.25">
      <c r="A50" s="15" t="s">
        <v>48</v>
      </c>
      <c r="B50" s="59" t="s">
        <v>49</v>
      </c>
      <c r="C50" s="8">
        <f>C51</f>
        <v>12950</v>
      </c>
      <c r="D50" s="8">
        <f>D51+D52</f>
        <v>15340</v>
      </c>
      <c r="E50" s="72">
        <f t="shared" si="0"/>
        <v>118.45559845559845</v>
      </c>
      <c r="F50" s="72"/>
    </row>
    <row r="51" spans="1:6" ht="158.25" customHeight="1" x14ac:dyDescent="0.25">
      <c r="A51" s="68" t="s">
        <v>239</v>
      </c>
      <c r="B51" s="69" t="s">
        <v>119</v>
      </c>
      <c r="C51" s="8">
        <v>12950</v>
      </c>
      <c r="D51" s="8">
        <v>15307</v>
      </c>
      <c r="E51" s="72">
        <f t="shared" si="0"/>
        <v>118.20077220077221</v>
      </c>
      <c r="F51" s="72"/>
    </row>
    <row r="52" spans="1:6" ht="158.25" customHeight="1" x14ac:dyDescent="0.25">
      <c r="A52" s="68" t="s">
        <v>240</v>
      </c>
      <c r="B52" s="69" t="s">
        <v>241</v>
      </c>
      <c r="C52" s="8"/>
      <c r="D52" s="8">
        <v>33</v>
      </c>
      <c r="E52" s="72"/>
      <c r="F52" s="72"/>
    </row>
    <row r="53" spans="1:6" ht="80.25" customHeight="1" x14ac:dyDescent="0.25">
      <c r="A53" s="7" t="s">
        <v>50</v>
      </c>
      <c r="B53" s="59" t="s">
        <v>51</v>
      </c>
      <c r="C53" s="8">
        <f>C54+C55</f>
        <v>136150</v>
      </c>
      <c r="D53" s="8">
        <f>D54+D55</f>
        <v>175900</v>
      </c>
      <c r="E53" s="72">
        <f t="shared" si="0"/>
        <v>129.19573999265518</v>
      </c>
      <c r="F53" s="72"/>
    </row>
    <row r="54" spans="1:6" ht="57.6" customHeight="1" x14ac:dyDescent="0.25">
      <c r="A54" s="9" t="s">
        <v>99</v>
      </c>
      <c r="B54" s="62" t="s">
        <v>100</v>
      </c>
      <c r="C54" s="8">
        <v>114050</v>
      </c>
      <c r="D54" s="8">
        <v>144000</v>
      </c>
      <c r="E54" s="72">
        <f t="shared" si="0"/>
        <v>126.26041209995616</v>
      </c>
      <c r="F54" s="72"/>
    </row>
    <row r="55" spans="1:6" ht="57.6" customHeight="1" x14ac:dyDescent="0.25">
      <c r="A55" s="9" t="s">
        <v>112</v>
      </c>
      <c r="B55" s="62" t="s">
        <v>111</v>
      </c>
      <c r="C55" s="8">
        <v>22100</v>
      </c>
      <c r="D55" s="8">
        <v>31900</v>
      </c>
      <c r="E55" s="72">
        <f t="shared" si="0"/>
        <v>144.34389140271492</v>
      </c>
      <c r="F55" s="72"/>
    </row>
    <row r="56" spans="1:6" ht="120" customHeight="1" x14ac:dyDescent="0.25">
      <c r="A56" s="9" t="s">
        <v>63</v>
      </c>
      <c r="B56" s="59" t="s">
        <v>64</v>
      </c>
      <c r="C56" s="8">
        <f>C57</f>
        <v>65216</v>
      </c>
      <c r="D56" s="8">
        <f>D57</f>
        <v>96520</v>
      </c>
      <c r="E56" s="72">
        <f t="shared" si="0"/>
        <v>148.00049067713445</v>
      </c>
      <c r="F56" s="72"/>
    </row>
    <row r="57" spans="1:6" ht="134.25" customHeight="1" x14ac:dyDescent="0.25">
      <c r="A57" s="9" t="s">
        <v>101</v>
      </c>
      <c r="B57" s="59" t="s">
        <v>102</v>
      </c>
      <c r="C57" s="8">
        <v>65216</v>
      </c>
      <c r="D57" s="8">
        <v>96520</v>
      </c>
      <c r="E57" s="72">
        <f t="shared" si="0"/>
        <v>148.00049067713445</v>
      </c>
      <c r="F57" s="72"/>
    </row>
    <row r="58" spans="1:6" ht="28.5" customHeight="1" x14ac:dyDescent="0.25">
      <c r="A58" s="5" t="s">
        <v>52</v>
      </c>
      <c r="B58" s="55" t="s">
        <v>53</v>
      </c>
      <c r="C58" s="6">
        <v>57063</v>
      </c>
      <c r="D58" s="6">
        <v>70172</v>
      </c>
      <c r="E58" s="73">
        <f t="shared" si="0"/>
        <v>122.97285456425355</v>
      </c>
      <c r="F58" s="73"/>
    </row>
    <row r="59" spans="1:6" ht="25.9" customHeight="1" x14ac:dyDescent="0.25">
      <c r="A59" s="5" t="s">
        <v>54</v>
      </c>
      <c r="B59" s="63" t="s">
        <v>55</v>
      </c>
      <c r="C59" s="6">
        <f>C60</f>
        <v>650</v>
      </c>
      <c r="D59" s="6">
        <f>D60</f>
        <v>650</v>
      </c>
      <c r="E59" s="73">
        <f t="shared" si="0"/>
        <v>100</v>
      </c>
      <c r="F59" s="73"/>
    </row>
    <row r="60" spans="1:6" ht="28.9" customHeight="1" x14ac:dyDescent="0.25">
      <c r="A60" s="7" t="s">
        <v>56</v>
      </c>
      <c r="B60" s="59" t="s">
        <v>55</v>
      </c>
      <c r="C60" s="8">
        <v>650</v>
      </c>
      <c r="D60" s="8">
        <v>650</v>
      </c>
      <c r="E60" s="72">
        <f t="shared" si="0"/>
        <v>100</v>
      </c>
      <c r="F60" s="72"/>
    </row>
    <row r="61" spans="1:6" ht="24" customHeight="1" x14ac:dyDescent="0.25">
      <c r="A61" s="5" t="s">
        <v>57</v>
      </c>
      <c r="B61" s="63" t="s">
        <v>58</v>
      </c>
      <c r="C61" s="6">
        <f>C62</f>
        <v>8061164.5999999996</v>
      </c>
      <c r="D61" s="6">
        <f>D62+D67+D68</f>
        <v>7378672</v>
      </c>
      <c r="E61" s="73">
        <f>D61/C61*100</f>
        <v>91.53357320107321</v>
      </c>
      <c r="F61" s="73"/>
    </row>
    <row r="62" spans="1:6" ht="63.75" customHeight="1" x14ac:dyDescent="0.25">
      <c r="A62" s="5" t="s">
        <v>103</v>
      </c>
      <c r="B62" s="63" t="s">
        <v>104</v>
      </c>
      <c r="C62" s="6">
        <f>C64+C65+C66+C63</f>
        <v>8061164.5999999996</v>
      </c>
      <c r="D62" s="6">
        <f>D64+D65+D66+D63</f>
        <v>7407507.3999999994</v>
      </c>
      <c r="E62" s="73">
        <f>D62/C62*100</f>
        <v>91.891280820639736</v>
      </c>
      <c r="F62" s="73"/>
    </row>
    <row r="63" spans="1:6" ht="27" customHeight="1" x14ac:dyDescent="0.25">
      <c r="A63" s="7" t="s">
        <v>242</v>
      </c>
      <c r="B63" s="59" t="s">
        <v>228</v>
      </c>
      <c r="C63" s="8"/>
      <c r="D63" s="8">
        <v>7240.6</v>
      </c>
      <c r="E63" s="72"/>
      <c r="F63" s="72"/>
    </row>
    <row r="64" spans="1:6" ht="22.5" customHeight="1" x14ac:dyDescent="0.25">
      <c r="A64" s="7" t="s">
        <v>243</v>
      </c>
      <c r="B64" s="70" t="s">
        <v>69</v>
      </c>
      <c r="C64" s="8">
        <v>3836045.5</v>
      </c>
      <c r="D64" s="8">
        <v>3317312</v>
      </c>
      <c r="E64" s="72">
        <f t="shared" ref="E64:E66" si="1">D64/C64*100</f>
        <v>86.477389280184497</v>
      </c>
      <c r="F64" s="72"/>
    </row>
    <row r="65" spans="1:9" ht="21" customHeight="1" x14ac:dyDescent="0.25">
      <c r="A65" s="7" t="s">
        <v>244</v>
      </c>
      <c r="B65" s="70" t="s">
        <v>70</v>
      </c>
      <c r="C65" s="8">
        <v>3614338.3</v>
      </c>
      <c r="D65" s="8">
        <v>3707000</v>
      </c>
      <c r="E65" s="72">
        <f t="shared" si="1"/>
        <v>102.56372514991195</v>
      </c>
      <c r="F65" s="72"/>
    </row>
    <row r="66" spans="1:9" ht="21.75" customHeight="1" x14ac:dyDescent="0.25">
      <c r="A66" s="7" t="s">
        <v>245</v>
      </c>
      <c r="B66" s="70" t="s">
        <v>59</v>
      </c>
      <c r="C66" s="8">
        <v>610780.80000000005</v>
      </c>
      <c r="D66" s="8">
        <f>305954.8+70000</f>
        <v>375954.8</v>
      </c>
      <c r="E66" s="72">
        <f t="shared" si="1"/>
        <v>61.55314639883899</v>
      </c>
      <c r="F66" s="72"/>
    </row>
    <row r="67" spans="1:9" ht="46.5" customHeight="1" x14ac:dyDescent="0.25">
      <c r="A67" s="7" t="s">
        <v>65</v>
      </c>
      <c r="B67" s="70" t="s">
        <v>71</v>
      </c>
      <c r="C67" s="16"/>
      <c r="D67" s="16">
        <v>8519.4</v>
      </c>
      <c r="E67" s="72"/>
      <c r="F67" s="72"/>
    </row>
    <row r="68" spans="1:9" ht="35.25" customHeight="1" x14ac:dyDescent="0.25">
      <c r="A68" s="7" t="s">
        <v>66</v>
      </c>
      <c r="B68" s="59" t="s">
        <v>72</v>
      </c>
      <c r="C68" s="16"/>
      <c r="D68" s="8">
        <v>-37354.800000000003</v>
      </c>
      <c r="E68" s="72"/>
      <c r="F68" s="72"/>
    </row>
    <row r="69" spans="1:9" ht="36.75" customHeight="1" x14ac:dyDescent="0.25">
      <c r="A69" s="71" t="s">
        <v>60</v>
      </c>
      <c r="B69" s="71"/>
      <c r="C69" s="6">
        <f>SUM(C61+C6)</f>
        <v>18535067.600000001</v>
      </c>
      <c r="D69" s="6">
        <f>SUM(D61+D6)</f>
        <v>18239525</v>
      </c>
      <c r="E69" s="73">
        <f t="shared" ref="E69" si="2">D69/C69*100</f>
        <v>98.405494890129233</v>
      </c>
      <c r="F69" s="73"/>
    </row>
    <row r="70" spans="1:9" ht="70.5" customHeight="1" x14ac:dyDescent="0.25">
      <c r="A70" s="32" t="s">
        <v>105</v>
      </c>
      <c r="B70" s="32"/>
      <c r="C70" s="32"/>
      <c r="D70" s="32"/>
      <c r="E70" s="32"/>
      <c r="F70" s="32"/>
    </row>
    <row r="71" spans="1:9" x14ac:dyDescent="0.25">
      <c r="A71" s="38" t="s">
        <v>222</v>
      </c>
      <c r="B71" s="39"/>
      <c r="C71" s="37" t="s">
        <v>120</v>
      </c>
      <c r="D71" s="42" t="s">
        <v>229</v>
      </c>
      <c r="E71" s="37" t="s">
        <v>230</v>
      </c>
      <c r="F71" s="42" t="s">
        <v>121</v>
      </c>
    </row>
    <row r="72" spans="1:9" ht="27.6" customHeight="1" x14ac:dyDescent="0.25">
      <c r="A72" s="40"/>
      <c r="B72" s="41"/>
      <c r="C72" s="37"/>
      <c r="D72" s="43"/>
      <c r="E72" s="37"/>
      <c r="F72" s="43"/>
    </row>
    <row r="73" spans="1:9" ht="24.6" customHeight="1" x14ac:dyDescent="0.25">
      <c r="A73" s="35" t="s">
        <v>122</v>
      </c>
      <c r="B73" s="36"/>
      <c r="C73" s="17" t="s">
        <v>123</v>
      </c>
      <c r="D73" s="18">
        <f>SUM(D74:D80)</f>
        <v>2398364.1</v>
      </c>
      <c r="E73" s="26">
        <f>E74+E75+E76+E77+E78+E79+E80</f>
        <v>1436003.54599</v>
      </c>
      <c r="F73" s="18">
        <f>E73/D73*100</f>
        <v>59.874292897813142</v>
      </c>
    </row>
    <row r="74" spans="1:9" ht="45" customHeight="1" x14ac:dyDescent="0.25">
      <c r="A74" s="33" t="s">
        <v>124</v>
      </c>
      <c r="B74" s="34"/>
      <c r="C74" s="19" t="s">
        <v>125</v>
      </c>
      <c r="D74" s="20">
        <v>11994.6</v>
      </c>
      <c r="E74" s="27">
        <f>11994578.72/1000</f>
        <v>11994.578720000001</v>
      </c>
      <c r="F74" s="20">
        <f>E74/D74*100</f>
        <v>99.999822586830746</v>
      </c>
    </row>
    <row r="75" spans="1:9" ht="51.6" customHeight="1" x14ac:dyDescent="0.25">
      <c r="A75" s="33" t="s">
        <v>126</v>
      </c>
      <c r="B75" s="34"/>
      <c r="C75" s="19" t="s">
        <v>127</v>
      </c>
      <c r="D75" s="20">
        <v>28819.4</v>
      </c>
      <c r="E75" s="27">
        <f>28819362/1000</f>
        <v>28819.362000000001</v>
      </c>
      <c r="F75" s="20">
        <f t="shared" ref="F75:F125" si="3">E75/D75*100</f>
        <v>99.999868144374972</v>
      </c>
      <c r="I75" s="21"/>
    </row>
    <row r="76" spans="1:9" ht="52.9" customHeight="1" x14ac:dyDescent="0.25">
      <c r="A76" s="33" t="s">
        <v>128</v>
      </c>
      <c r="B76" s="34"/>
      <c r="C76" s="19" t="s">
        <v>129</v>
      </c>
      <c r="D76" s="20">
        <v>620690.30000000005</v>
      </c>
      <c r="E76" s="27">
        <f>618105076.73/1000</f>
        <v>618105.07672999997</v>
      </c>
      <c r="F76" s="20">
        <f t="shared" si="3"/>
        <v>99.58349223920527</v>
      </c>
    </row>
    <row r="77" spans="1:9" ht="42" customHeight="1" x14ac:dyDescent="0.25">
      <c r="A77" s="33" t="s">
        <v>130</v>
      </c>
      <c r="B77" s="34"/>
      <c r="C77" s="19" t="s">
        <v>131</v>
      </c>
      <c r="D77" s="20">
        <v>106620</v>
      </c>
      <c r="E77" s="27">
        <f>106619974/1000</f>
        <v>106619.974</v>
      </c>
      <c r="F77" s="20">
        <f t="shared" si="3"/>
        <v>99.999975614331277</v>
      </c>
    </row>
    <row r="78" spans="1:9" ht="28.5" hidden="1" customHeight="1" x14ac:dyDescent="0.25">
      <c r="A78" s="33" t="s">
        <v>225</v>
      </c>
      <c r="B78" s="34"/>
      <c r="C78" s="19" t="s">
        <v>224</v>
      </c>
      <c r="D78" s="20">
        <v>0</v>
      </c>
      <c r="E78" s="27">
        <v>0</v>
      </c>
      <c r="F78" s="20">
        <v>0</v>
      </c>
    </row>
    <row r="79" spans="1:9" ht="25.5" customHeight="1" x14ac:dyDescent="0.25">
      <c r="A79" s="33" t="s">
        <v>132</v>
      </c>
      <c r="B79" s="34"/>
      <c r="C79" s="19" t="s">
        <v>133</v>
      </c>
      <c r="D79" s="20">
        <v>1000</v>
      </c>
      <c r="E79" s="27">
        <v>0</v>
      </c>
      <c r="F79" s="20">
        <f t="shared" si="3"/>
        <v>0</v>
      </c>
    </row>
    <row r="80" spans="1:9" ht="27" customHeight="1" x14ac:dyDescent="0.25">
      <c r="A80" s="33" t="s">
        <v>134</v>
      </c>
      <c r="B80" s="34"/>
      <c r="C80" s="19" t="s">
        <v>135</v>
      </c>
      <c r="D80" s="20">
        <f>1631745.7-2505.9</f>
        <v>1629239.8</v>
      </c>
      <c r="E80" s="27">
        <f>(120189737.44+550274817.1)/1000</f>
        <v>670464.55453999992</v>
      </c>
      <c r="F80" s="20">
        <f t="shared" si="3"/>
        <v>41.151987236010314</v>
      </c>
    </row>
    <row r="81" spans="1:6" ht="31.15" customHeight="1" x14ac:dyDescent="0.25">
      <c r="A81" s="35" t="s">
        <v>136</v>
      </c>
      <c r="B81" s="36"/>
      <c r="C81" s="17" t="s">
        <v>137</v>
      </c>
      <c r="D81" s="18">
        <f>D82</f>
        <v>74</v>
      </c>
      <c r="E81" s="26">
        <f>E82</f>
        <v>0</v>
      </c>
      <c r="F81" s="18">
        <f t="shared" si="3"/>
        <v>0</v>
      </c>
    </row>
    <row r="82" spans="1:6" ht="27.75" customHeight="1" x14ac:dyDescent="0.25">
      <c r="A82" s="33" t="s">
        <v>138</v>
      </c>
      <c r="B82" s="34"/>
      <c r="C82" s="19" t="s">
        <v>139</v>
      </c>
      <c r="D82" s="20">
        <v>74</v>
      </c>
      <c r="E82" s="27">
        <v>0</v>
      </c>
      <c r="F82" s="20">
        <f t="shared" si="3"/>
        <v>0</v>
      </c>
    </row>
    <row r="83" spans="1:6" ht="29.25" customHeight="1" x14ac:dyDescent="0.25">
      <c r="A83" s="35" t="s">
        <v>140</v>
      </c>
      <c r="B83" s="36"/>
      <c r="C83" s="17" t="s">
        <v>141</v>
      </c>
      <c r="D83" s="18">
        <f>SUM(D84:D86)</f>
        <v>201128.8</v>
      </c>
      <c r="E83" s="26">
        <f>E84+E85+E86</f>
        <v>174086.73952999999</v>
      </c>
      <c r="F83" s="18">
        <f t="shared" si="3"/>
        <v>86.55485416807538</v>
      </c>
    </row>
    <row r="84" spans="1:6" ht="29.25" customHeight="1" x14ac:dyDescent="0.25">
      <c r="A84" s="33" t="s">
        <v>142</v>
      </c>
      <c r="B84" s="34"/>
      <c r="C84" s="19" t="s">
        <v>143</v>
      </c>
      <c r="D84" s="20">
        <v>7300</v>
      </c>
      <c r="E84" s="27">
        <f>7300000/1000</f>
        <v>7300</v>
      </c>
      <c r="F84" s="20">
        <f t="shared" si="3"/>
        <v>100</v>
      </c>
    </row>
    <row r="85" spans="1:6" ht="36.6" customHeight="1" x14ac:dyDescent="0.25">
      <c r="A85" s="33" t="s">
        <v>144</v>
      </c>
      <c r="B85" s="34"/>
      <c r="C85" s="19" t="s">
        <v>145</v>
      </c>
      <c r="D85" s="20">
        <v>127484.8</v>
      </c>
      <c r="E85" s="27">
        <f>121941388.21/1000</f>
        <v>121941.38820999999</v>
      </c>
      <c r="F85" s="20">
        <f t="shared" si="3"/>
        <v>95.651707662403666</v>
      </c>
    </row>
    <row r="86" spans="1:6" ht="36.6" customHeight="1" x14ac:dyDescent="0.25">
      <c r="A86" s="33" t="s">
        <v>146</v>
      </c>
      <c r="B86" s="34"/>
      <c r="C86" s="19" t="s">
        <v>147</v>
      </c>
      <c r="D86" s="20">
        <v>66344</v>
      </c>
      <c r="E86" s="27">
        <f>44845351.32/1000</f>
        <v>44845.351320000002</v>
      </c>
      <c r="F86" s="20">
        <f t="shared" si="3"/>
        <v>67.595187688411912</v>
      </c>
    </row>
    <row r="87" spans="1:6" ht="24.6" customHeight="1" x14ac:dyDescent="0.25">
      <c r="A87" s="35" t="s">
        <v>148</v>
      </c>
      <c r="B87" s="36"/>
      <c r="C87" s="17" t="s">
        <v>149</v>
      </c>
      <c r="D87" s="18">
        <f>SUM(D88:D92)</f>
        <v>828810.4</v>
      </c>
      <c r="E87" s="26">
        <f>E88+E89+E90+E91+E92</f>
        <v>814872.53866000008</v>
      </c>
      <c r="F87" s="18">
        <f t="shared" si="3"/>
        <v>98.318329338048855</v>
      </c>
    </row>
    <row r="88" spans="1:6" ht="26.45" customHeight="1" x14ac:dyDescent="0.25">
      <c r="A88" s="33" t="s">
        <v>150</v>
      </c>
      <c r="B88" s="34"/>
      <c r="C88" s="19" t="s">
        <v>151</v>
      </c>
      <c r="D88" s="20">
        <v>6510</v>
      </c>
      <c r="E88" s="27">
        <f>6510000/1000</f>
        <v>6510</v>
      </c>
      <c r="F88" s="20">
        <f t="shared" si="3"/>
        <v>100</v>
      </c>
    </row>
    <row r="89" spans="1:6" ht="24.6" customHeight="1" x14ac:dyDescent="0.25">
      <c r="A89" s="33" t="s">
        <v>152</v>
      </c>
      <c r="B89" s="34"/>
      <c r="C89" s="19" t="s">
        <v>153</v>
      </c>
      <c r="D89" s="20">
        <v>2617.1999999999998</v>
      </c>
      <c r="E89" s="27">
        <f>2940530/1000</f>
        <v>2940.53</v>
      </c>
      <c r="F89" s="20">
        <f t="shared" si="3"/>
        <v>112.3540424881553</v>
      </c>
    </row>
    <row r="90" spans="1:6" ht="26.45" customHeight="1" x14ac:dyDescent="0.25">
      <c r="A90" s="33" t="s">
        <v>154</v>
      </c>
      <c r="B90" s="34"/>
      <c r="C90" s="19" t="s">
        <v>155</v>
      </c>
      <c r="D90" s="20">
        <v>2960.8</v>
      </c>
      <c r="E90" s="27">
        <f>3906983.52/1000</f>
        <v>3906.9835200000002</v>
      </c>
      <c r="F90" s="20">
        <f t="shared" si="3"/>
        <v>131.95702242637125</v>
      </c>
    </row>
    <row r="91" spans="1:6" ht="29.45" customHeight="1" x14ac:dyDescent="0.25">
      <c r="A91" s="33" t="s">
        <v>156</v>
      </c>
      <c r="B91" s="34"/>
      <c r="C91" s="19" t="s">
        <v>157</v>
      </c>
      <c r="D91" s="20">
        <v>792134.3</v>
      </c>
      <c r="E91" s="27">
        <f>778532992.97/1000</f>
        <v>778532.99297000002</v>
      </c>
      <c r="F91" s="20">
        <f t="shared" si="3"/>
        <v>98.282954414421894</v>
      </c>
    </row>
    <row r="92" spans="1:6" ht="32.450000000000003" customHeight="1" x14ac:dyDescent="0.25">
      <c r="A92" s="33" t="s">
        <v>158</v>
      </c>
      <c r="B92" s="34"/>
      <c r="C92" s="19" t="s">
        <v>159</v>
      </c>
      <c r="D92" s="20">
        <v>24588.1</v>
      </c>
      <c r="E92" s="27">
        <f>22982032.17/1000</f>
        <v>22982.032170000002</v>
      </c>
      <c r="F92" s="20">
        <f t="shared" si="3"/>
        <v>93.468109247969565</v>
      </c>
    </row>
    <row r="93" spans="1:6" ht="27" customHeight="1" x14ac:dyDescent="0.25">
      <c r="A93" s="35" t="s">
        <v>160</v>
      </c>
      <c r="B93" s="36"/>
      <c r="C93" s="17" t="s">
        <v>161</v>
      </c>
      <c r="D93" s="18">
        <f>SUM(D94:D96)</f>
        <v>6809599.5999999996</v>
      </c>
      <c r="E93" s="26">
        <f>E94+E95+E96</f>
        <v>5845813.4237699993</v>
      </c>
      <c r="F93" s="18">
        <f t="shared" si="3"/>
        <v>85.846654240434333</v>
      </c>
    </row>
    <row r="94" spans="1:6" ht="21" customHeight="1" x14ac:dyDescent="0.25">
      <c r="A94" s="33" t="s">
        <v>162</v>
      </c>
      <c r="B94" s="34"/>
      <c r="C94" s="19" t="s">
        <v>163</v>
      </c>
      <c r="D94" s="20">
        <v>1766959.1</v>
      </c>
      <c r="E94" s="27">
        <f>1337696204.05/1000</f>
        <v>1337696.2040500001</v>
      </c>
      <c r="F94" s="20">
        <f t="shared" si="3"/>
        <v>75.706121553690735</v>
      </c>
    </row>
    <row r="95" spans="1:6" ht="25.9" customHeight="1" x14ac:dyDescent="0.25">
      <c r="A95" s="33" t="s">
        <v>164</v>
      </c>
      <c r="B95" s="34"/>
      <c r="C95" s="19" t="s">
        <v>165</v>
      </c>
      <c r="D95" s="20">
        <v>1876541.6</v>
      </c>
      <c r="E95" s="27">
        <f>1438220900/1000</f>
        <v>1438220.9</v>
      </c>
      <c r="F95" s="20">
        <f t="shared" si="3"/>
        <v>76.642100553486259</v>
      </c>
    </row>
    <row r="96" spans="1:6" ht="24" customHeight="1" x14ac:dyDescent="0.25">
      <c r="A96" s="33" t="s">
        <v>166</v>
      </c>
      <c r="B96" s="34"/>
      <c r="C96" s="19" t="s">
        <v>167</v>
      </c>
      <c r="D96" s="20">
        <v>3166098.9</v>
      </c>
      <c r="E96" s="27">
        <f>3069896319.72/1000</f>
        <v>3069896.3197199996</v>
      </c>
      <c r="F96" s="20">
        <f t="shared" si="3"/>
        <v>96.961478989806665</v>
      </c>
    </row>
    <row r="97" spans="1:6" ht="27.6" customHeight="1" x14ac:dyDescent="0.25">
      <c r="A97" s="35" t="s">
        <v>168</v>
      </c>
      <c r="B97" s="36"/>
      <c r="C97" s="17" t="s">
        <v>169</v>
      </c>
      <c r="D97" s="18">
        <f>SUM(D98:D99)</f>
        <v>37679.299999999996</v>
      </c>
      <c r="E97" s="26">
        <f>E98+E99</f>
        <v>37355.93</v>
      </c>
      <c r="F97" s="18">
        <f t="shared" si="3"/>
        <v>99.141783419543373</v>
      </c>
    </row>
    <row r="98" spans="1:6" ht="36.6" customHeight="1" x14ac:dyDescent="0.25">
      <c r="A98" s="33" t="s">
        <v>170</v>
      </c>
      <c r="B98" s="34"/>
      <c r="C98" s="19" t="s">
        <v>171</v>
      </c>
      <c r="D98" s="20">
        <v>2182.6</v>
      </c>
      <c r="E98" s="27">
        <f>1859240/1000</f>
        <v>1859.24</v>
      </c>
      <c r="F98" s="20">
        <f t="shared" si="3"/>
        <v>85.184642169889131</v>
      </c>
    </row>
    <row r="99" spans="1:6" ht="24" customHeight="1" x14ac:dyDescent="0.25">
      <c r="A99" s="33" t="s">
        <v>172</v>
      </c>
      <c r="B99" s="34"/>
      <c r="C99" s="19" t="s">
        <v>173</v>
      </c>
      <c r="D99" s="20">
        <v>35496.699999999997</v>
      </c>
      <c r="E99" s="27">
        <f>35496690/1000</f>
        <v>35496.69</v>
      </c>
      <c r="F99" s="20">
        <f t="shared" si="3"/>
        <v>99.999971828367165</v>
      </c>
    </row>
    <row r="100" spans="1:6" ht="26.25" customHeight="1" x14ac:dyDescent="0.25">
      <c r="A100" s="35" t="s">
        <v>174</v>
      </c>
      <c r="B100" s="36"/>
      <c r="C100" s="17" t="s">
        <v>175</v>
      </c>
      <c r="D100" s="18">
        <f>SUM(D101:D106)</f>
        <v>6859421.0999999996</v>
      </c>
      <c r="E100" s="26">
        <f>E101+E102+E103+E104+E105+E106</f>
        <v>6774012.3829600001</v>
      </c>
      <c r="F100" s="18">
        <f t="shared" si="3"/>
        <v>98.754869896528149</v>
      </c>
    </row>
    <row r="101" spans="1:6" ht="27" customHeight="1" x14ac:dyDescent="0.25">
      <c r="A101" s="33" t="s">
        <v>176</v>
      </c>
      <c r="B101" s="34"/>
      <c r="C101" s="19" t="s">
        <v>177</v>
      </c>
      <c r="D101" s="20">
        <v>2343511.7999999998</v>
      </c>
      <c r="E101" s="27">
        <f>2334910406.09/1000</f>
        <v>2334910.4060900002</v>
      </c>
      <c r="F101" s="20">
        <f t="shared" si="3"/>
        <v>99.632969891169338</v>
      </c>
    </row>
    <row r="102" spans="1:6" ht="25.15" customHeight="1" x14ac:dyDescent="0.25">
      <c r="A102" s="33" t="s">
        <v>178</v>
      </c>
      <c r="B102" s="34"/>
      <c r="C102" s="19" t="s">
        <v>179</v>
      </c>
      <c r="D102" s="20">
        <v>3650400</v>
      </c>
      <c r="E102" s="27">
        <f>3594504201.85/1000</f>
        <v>3594504.2018499998</v>
      </c>
      <c r="F102" s="20">
        <f t="shared" si="3"/>
        <v>98.468776075224625</v>
      </c>
    </row>
    <row r="103" spans="1:6" ht="31.15" customHeight="1" x14ac:dyDescent="0.25">
      <c r="A103" s="33" t="s">
        <v>180</v>
      </c>
      <c r="B103" s="34"/>
      <c r="C103" s="19" t="s">
        <v>181</v>
      </c>
      <c r="D103" s="20">
        <v>730541.5</v>
      </c>
      <c r="E103" s="27">
        <f>713148238.3/1000</f>
        <v>713148.23829999997</v>
      </c>
      <c r="F103" s="20">
        <f t="shared" si="3"/>
        <v>97.619127496521401</v>
      </c>
    </row>
    <row r="104" spans="1:6" ht="31.15" customHeight="1" x14ac:dyDescent="0.25">
      <c r="A104" s="33" t="s">
        <v>226</v>
      </c>
      <c r="B104" s="34"/>
      <c r="C104" s="19" t="s">
        <v>227</v>
      </c>
      <c r="D104" s="20">
        <v>1565</v>
      </c>
      <c r="E104" s="27">
        <f>1520000/1000</f>
        <v>1520</v>
      </c>
      <c r="F104" s="20">
        <f t="shared" si="3"/>
        <v>97.124600638977626</v>
      </c>
    </row>
    <row r="105" spans="1:6" ht="27" customHeight="1" x14ac:dyDescent="0.25">
      <c r="A105" s="33" t="s">
        <v>182</v>
      </c>
      <c r="B105" s="34"/>
      <c r="C105" s="19" t="s">
        <v>183</v>
      </c>
      <c r="D105" s="20">
        <v>45598</v>
      </c>
      <c r="E105" s="27">
        <f>45598000/1000</f>
        <v>45598</v>
      </c>
      <c r="F105" s="20">
        <f t="shared" si="3"/>
        <v>100</v>
      </c>
    </row>
    <row r="106" spans="1:6" ht="29.45" customHeight="1" x14ac:dyDescent="0.25">
      <c r="A106" s="33" t="s">
        <v>184</v>
      </c>
      <c r="B106" s="34"/>
      <c r="C106" s="19" t="s">
        <v>185</v>
      </c>
      <c r="D106" s="20">
        <v>87804.800000000003</v>
      </c>
      <c r="E106" s="27">
        <f>84331536.72/1000</f>
        <v>84331.536720000004</v>
      </c>
      <c r="F106" s="20">
        <f t="shared" si="3"/>
        <v>96.044335526076026</v>
      </c>
    </row>
    <row r="107" spans="1:6" ht="30" customHeight="1" x14ac:dyDescent="0.25">
      <c r="A107" s="35" t="s">
        <v>186</v>
      </c>
      <c r="B107" s="36"/>
      <c r="C107" s="17" t="s">
        <v>187</v>
      </c>
      <c r="D107" s="18">
        <f>SUM(D108:D109)</f>
        <v>910609.7</v>
      </c>
      <c r="E107" s="26">
        <f>E108+E109</f>
        <v>910609.65794000006</v>
      </c>
      <c r="F107" s="18">
        <f t="shared" si="3"/>
        <v>99.999995381116648</v>
      </c>
    </row>
    <row r="108" spans="1:6" ht="27.6" customHeight="1" x14ac:dyDescent="0.25">
      <c r="A108" s="33" t="s">
        <v>188</v>
      </c>
      <c r="B108" s="34"/>
      <c r="C108" s="19" t="s">
        <v>189</v>
      </c>
      <c r="D108" s="20">
        <v>885509.7</v>
      </c>
      <c r="E108" s="27">
        <f>885509647.94/1000</f>
        <v>885509.64794000005</v>
      </c>
      <c r="F108" s="20">
        <f t="shared" si="3"/>
        <v>99.999994120900098</v>
      </c>
    </row>
    <row r="109" spans="1:6" ht="25.15" customHeight="1" x14ac:dyDescent="0.25">
      <c r="A109" s="33" t="s">
        <v>190</v>
      </c>
      <c r="B109" s="34"/>
      <c r="C109" s="19" t="s">
        <v>191</v>
      </c>
      <c r="D109" s="20">
        <v>25100</v>
      </c>
      <c r="E109" s="27">
        <f>25100010/1000</f>
        <v>25100.01</v>
      </c>
      <c r="F109" s="20">
        <f t="shared" si="3"/>
        <v>100.00003984063743</v>
      </c>
    </row>
    <row r="110" spans="1:6" ht="24.75" customHeight="1" x14ac:dyDescent="0.25">
      <c r="A110" s="35" t="s">
        <v>192</v>
      </c>
      <c r="B110" s="36"/>
      <c r="C110" s="17" t="s">
        <v>193</v>
      </c>
      <c r="D110" s="18">
        <f>D111</f>
        <v>3840</v>
      </c>
      <c r="E110" s="26">
        <f>E111</f>
        <v>3840</v>
      </c>
      <c r="F110" s="18">
        <f t="shared" si="3"/>
        <v>100</v>
      </c>
    </row>
    <row r="111" spans="1:6" ht="22.5" customHeight="1" x14ac:dyDescent="0.25">
      <c r="A111" s="33" t="s">
        <v>194</v>
      </c>
      <c r="B111" s="34"/>
      <c r="C111" s="19" t="s">
        <v>195</v>
      </c>
      <c r="D111" s="20">
        <v>3840</v>
      </c>
      <c r="E111" s="27">
        <f>3840000/1000</f>
        <v>3840</v>
      </c>
      <c r="F111" s="20">
        <f t="shared" si="3"/>
        <v>100</v>
      </c>
    </row>
    <row r="112" spans="1:6" ht="28.9" customHeight="1" x14ac:dyDescent="0.25">
      <c r="A112" s="35" t="s">
        <v>196</v>
      </c>
      <c r="B112" s="36"/>
      <c r="C112" s="17" t="s">
        <v>197</v>
      </c>
      <c r="D112" s="18">
        <f>SUM(D113:D116)</f>
        <v>1007753.3</v>
      </c>
      <c r="E112" s="26">
        <f>E113+E114+E115</f>
        <v>1006888.6774900001</v>
      </c>
      <c r="F112" s="18">
        <f t="shared" si="3"/>
        <v>99.914202959196473</v>
      </c>
    </row>
    <row r="113" spans="1:9" ht="24.75" customHeight="1" x14ac:dyDescent="0.25">
      <c r="A113" s="33" t="s">
        <v>198</v>
      </c>
      <c r="B113" s="34"/>
      <c r="C113" s="19" t="s">
        <v>199</v>
      </c>
      <c r="D113" s="20">
        <v>30956</v>
      </c>
      <c r="E113" s="27">
        <f>30955800/1000</f>
        <v>30955.8</v>
      </c>
      <c r="F113" s="20">
        <f t="shared" si="3"/>
        <v>99.999353921695317</v>
      </c>
    </row>
    <row r="114" spans="1:9" ht="25.9" customHeight="1" x14ac:dyDescent="0.25">
      <c r="A114" s="33" t="s">
        <v>200</v>
      </c>
      <c r="B114" s="34"/>
      <c r="C114" s="19" t="s">
        <v>201</v>
      </c>
      <c r="D114" s="20">
        <v>882661</v>
      </c>
      <c r="E114" s="28">
        <f>882661151.73/1000</f>
        <v>882661.15173000004</v>
      </c>
      <c r="F114" s="20">
        <f t="shared" si="3"/>
        <v>100.00001719006504</v>
      </c>
      <c r="I114" s="21"/>
    </row>
    <row r="115" spans="1:9" ht="23.45" customHeight="1" x14ac:dyDescent="0.25">
      <c r="A115" s="33" t="s">
        <v>202</v>
      </c>
      <c r="B115" s="34"/>
      <c r="C115" s="19" t="s">
        <v>203</v>
      </c>
      <c r="D115" s="20">
        <v>93636.3</v>
      </c>
      <c r="E115" s="27">
        <f>93271725.76/1000</f>
        <v>93271.725760000001</v>
      </c>
      <c r="F115" s="20">
        <f t="shared" si="3"/>
        <v>99.610648605295168</v>
      </c>
    </row>
    <row r="116" spans="1:9" ht="31.15" customHeight="1" x14ac:dyDescent="0.25">
      <c r="A116" s="33" t="s">
        <v>204</v>
      </c>
      <c r="B116" s="34"/>
      <c r="C116" s="19" t="s">
        <v>205</v>
      </c>
      <c r="D116" s="20">
        <v>500</v>
      </c>
      <c r="E116" s="26">
        <v>0</v>
      </c>
      <c r="F116" s="20">
        <f t="shared" si="3"/>
        <v>0</v>
      </c>
    </row>
    <row r="117" spans="1:9" ht="28.9" customHeight="1" x14ac:dyDescent="0.25">
      <c r="A117" s="35" t="s">
        <v>206</v>
      </c>
      <c r="B117" s="36"/>
      <c r="C117" s="17" t="s">
        <v>207</v>
      </c>
      <c r="D117" s="18">
        <f>SUM(D118:D120)</f>
        <v>623702.80000000005</v>
      </c>
      <c r="E117" s="26">
        <f>E118+E119+E120</f>
        <v>619794.56965999992</v>
      </c>
      <c r="F117" s="18">
        <f t="shared" si="3"/>
        <v>99.373382588630335</v>
      </c>
    </row>
    <row r="118" spans="1:9" ht="26.45" customHeight="1" x14ac:dyDescent="0.25">
      <c r="A118" s="33" t="s">
        <v>208</v>
      </c>
      <c r="B118" s="34"/>
      <c r="C118" s="19" t="s">
        <v>209</v>
      </c>
      <c r="D118" s="20">
        <v>390795.2</v>
      </c>
      <c r="E118" s="27">
        <f>390795245/1000</f>
        <v>390795.245</v>
      </c>
      <c r="F118" s="20">
        <f t="shared" si="3"/>
        <v>100.00001151498279</v>
      </c>
    </row>
    <row r="119" spans="1:9" ht="25.5" customHeight="1" x14ac:dyDescent="0.25">
      <c r="A119" s="33" t="s">
        <v>210</v>
      </c>
      <c r="B119" s="34"/>
      <c r="C119" s="19" t="s">
        <v>211</v>
      </c>
      <c r="D119" s="20">
        <v>199062.3</v>
      </c>
      <c r="E119" s="27">
        <f>197458256.25/1000</f>
        <v>197458.25625000001</v>
      </c>
      <c r="F119" s="20">
        <f t="shared" si="3"/>
        <v>99.194200132320404</v>
      </c>
    </row>
    <row r="120" spans="1:9" ht="22.5" customHeight="1" x14ac:dyDescent="0.25">
      <c r="A120" s="33" t="s">
        <v>212</v>
      </c>
      <c r="B120" s="34"/>
      <c r="C120" s="19" t="s">
        <v>213</v>
      </c>
      <c r="D120" s="20">
        <v>33845.300000000003</v>
      </c>
      <c r="E120" s="27">
        <f>31541068.41/1000</f>
        <v>31541.06841</v>
      </c>
      <c r="F120" s="20">
        <f t="shared" si="3"/>
        <v>93.191871279025435</v>
      </c>
    </row>
    <row r="121" spans="1:9" ht="33.6" customHeight="1" x14ac:dyDescent="0.25">
      <c r="A121" s="35" t="s">
        <v>214</v>
      </c>
      <c r="B121" s="36"/>
      <c r="C121" s="17" t="s">
        <v>215</v>
      </c>
      <c r="D121" s="18">
        <f>D122</f>
        <v>33200</v>
      </c>
      <c r="E121" s="26">
        <f>E122</f>
        <v>29813.333999999999</v>
      </c>
      <c r="F121" s="18">
        <f t="shared" si="3"/>
        <v>89.799198795180729</v>
      </c>
    </row>
    <row r="122" spans="1:9" ht="24" customHeight="1" x14ac:dyDescent="0.25">
      <c r="A122" s="33" t="s">
        <v>216</v>
      </c>
      <c r="B122" s="34"/>
      <c r="C122" s="19" t="s">
        <v>217</v>
      </c>
      <c r="D122" s="20">
        <v>33200</v>
      </c>
      <c r="E122" s="27">
        <f>29813334/1000</f>
        <v>29813.333999999999</v>
      </c>
      <c r="F122" s="20">
        <f t="shared" si="3"/>
        <v>89.799198795180729</v>
      </c>
    </row>
    <row r="123" spans="1:9" ht="26.45" customHeight="1" x14ac:dyDescent="0.25">
      <c r="A123" s="35" t="s">
        <v>218</v>
      </c>
      <c r="B123" s="36"/>
      <c r="C123" s="17" t="s">
        <v>219</v>
      </c>
      <c r="D123" s="18">
        <f>D124</f>
        <v>500</v>
      </c>
      <c r="E123" s="26">
        <f>E124</f>
        <v>0</v>
      </c>
      <c r="F123" s="20">
        <f t="shared" si="3"/>
        <v>0</v>
      </c>
    </row>
    <row r="124" spans="1:9" ht="27.75" customHeight="1" x14ac:dyDescent="0.25">
      <c r="A124" s="33" t="s">
        <v>220</v>
      </c>
      <c r="B124" s="34"/>
      <c r="C124" s="19" t="s">
        <v>221</v>
      </c>
      <c r="D124" s="20">
        <v>500</v>
      </c>
      <c r="E124" s="29">
        <v>0</v>
      </c>
      <c r="F124" s="20">
        <f t="shared" si="3"/>
        <v>0</v>
      </c>
    </row>
    <row r="125" spans="1:9" ht="22.15" customHeight="1" x14ac:dyDescent="0.25">
      <c r="A125" s="44" t="s">
        <v>223</v>
      </c>
      <c r="B125" s="45"/>
      <c r="C125" s="46"/>
      <c r="D125" s="18">
        <f>D73+D81+D83+D87+D93+D97+D100+D107+D110+D112+D117+D121+D123</f>
        <v>19714683.099999998</v>
      </c>
      <c r="E125" s="30">
        <f>E73+E81+E83+E87+E93+E97+E100+E107+E110+E112+E117+E121+E123</f>
        <v>17653090.799999997</v>
      </c>
      <c r="F125" s="18">
        <f t="shared" si="3"/>
        <v>89.542858540799969</v>
      </c>
      <c r="I125" s="21"/>
    </row>
    <row r="126" spans="1:9" x14ac:dyDescent="0.25">
      <c r="A126" s="22"/>
      <c r="B126" s="23"/>
      <c r="C126" s="23"/>
      <c r="D126" s="22"/>
      <c r="E126" s="22"/>
      <c r="F126" s="22"/>
    </row>
  </sheetData>
  <mergeCells count="131">
    <mergeCell ref="E67:F67"/>
    <mergeCell ref="E68:F68"/>
    <mergeCell ref="E69:F69"/>
    <mergeCell ref="E4:F5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A1:E1"/>
    <mergeCell ref="A2:E2"/>
    <mergeCell ref="A4:A5"/>
    <mergeCell ref="B4:B5"/>
    <mergeCell ref="C4:C5"/>
    <mergeCell ref="D4:D5"/>
    <mergeCell ref="A69:B69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A105:B105"/>
    <mergeCell ref="A106:B106"/>
    <mergeCell ref="A107:B107"/>
    <mergeCell ref="A108:B108"/>
    <mergeCell ref="A93:B93"/>
    <mergeCell ref="A94:B94"/>
    <mergeCell ref="A95:B95"/>
    <mergeCell ref="A104:B104"/>
    <mergeCell ref="A103:B103"/>
    <mergeCell ref="A125:C125"/>
    <mergeCell ref="A109:B109"/>
    <mergeCell ref="A110:B110"/>
    <mergeCell ref="A111:B111"/>
    <mergeCell ref="A112:B112"/>
    <mergeCell ref="A113:B113"/>
    <mergeCell ref="A124:B124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96:B96"/>
    <mergeCell ref="A97:B97"/>
    <mergeCell ref="A98:B98"/>
    <mergeCell ref="A99:B99"/>
    <mergeCell ref="A100:B100"/>
    <mergeCell ref="A101:B101"/>
    <mergeCell ref="A102:B10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0:F70"/>
    <mergeCell ref="A78:B78"/>
    <mergeCell ref="A82:B82"/>
    <mergeCell ref="A75:B75"/>
    <mergeCell ref="A76:B76"/>
    <mergeCell ref="A77:B77"/>
    <mergeCell ref="A81:B81"/>
    <mergeCell ref="A73:B73"/>
    <mergeCell ref="A74:B74"/>
    <mergeCell ref="C71:C72"/>
    <mergeCell ref="A71:B72"/>
    <mergeCell ref="D71:D72"/>
    <mergeCell ref="E71:E72"/>
    <mergeCell ref="F71:F72"/>
    <mergeCell ref="A79:B79"/>
    <mergeCell ref="A80:B80"/>
  </mergeCells>
  <pageMargins left="0.35433070866141736" right="0.11811023622047245" top="0.23622047244094491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Н.В. Махова</cp:lastModifiedBy>
  <cp:lastPrinted>2024-11-05T06:50:48Z</cp:lastPrinted>
  <dcterms:created xsi:type="dcterms:W3CDTF">2016-11-10T06:23:23Z</dcterms:created>
  <dcterms:modified xsi:type="dcterms:W3CDTF">2025-11-13T14:56:45Z</dcterms:modified>
</cp:coreProperties>
</file>